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4836" windowWidth="11448" windowHeight="4860" activeTab="0"/>
  </bookViews>
  <sheets>
    <sheet name="2017" sheetId="1" r:id="rId1"/>
    <sheet name="2018-2019" sheetId="2" r:id="rId2"/>
  </sheets>
  <definedNames>
    <definedName name="_xlnm.Print_Titles" localSheetId="0">'2017'!$11:$12</definedName>
    <definedName name="_xlnm.Print_Titles" localSheetId="1">'2018-2019'!$8:$9</definedName>
    <definedName name="_xlnm.Print_Area" localSheetId="0">'2017'!$A$1:$G$81</definedName>
    <definedName name="_xlnm.Print_Area" localSheetId="1">'2018-2019'!$A$1:$H$86</definedName>
  </definedNames>
  <calcPr fullCalcOnLoad="1"/>
</workbook>
</file>

<file path=xl/sharedStrings.xml><?xml version="1.0" encoding="utf-8"?>
<sst xmlns="http://schemas.openxmlformats.org/spreadsheetml/2006/main" count="547" uniqueCount="102">
  <si>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</si>
  <si>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</si>
  <si>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</si>
  <si>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</si>
  <si>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</si>
  <si>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</si>
  <si>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</si>
  <si>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</si>
  <si>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</si>
  <si>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</si>
  <si>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</si>
  <si>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</si>
  <si>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</si>
  <si>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</si>
  <si>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</si>
  <si>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</si>
  <si>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</si>
  <si>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</si>
  <si>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</si>
  <si>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</si>
  <si>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</si>
  <si>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</si>
  <si>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</si>
  <si>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</si>
  <si>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</si>
  <si>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</si>
  <si>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</si>
  <si>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</si>
  <si>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</si>
  <si>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</si>
  <si>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</si>
  <si>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</si>
  <si>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</si>
  <si>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</si>
  <si>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</si>
  <si>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>Программа развития физической культуры и спорта</t>
  </si>
  <si>
    <t xml:space="preserve">Кинематография </t>
  </si>
  <si>
    <t>Резервные фонды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</si>
  <si>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</si>
  <si>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</si>
  <si>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</si>
  <si>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</si>
  <si>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</si>
  <si>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</si>
  <si>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</si>
  <si>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</si>
  <si>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Закупка товаров, работ и услуг для государст-венных (муниципальных) нужд</t>
  </si>
  <si>
    <t>Межбюджетные трансферты</t>
  </si>
  <si>
    <t>Предоставление субсидий бюджетным, авто-номным учреждениям и иным некоммерче-ским организациям</t>
  </si>
  <si>
    <t>600</t>
  </si>
  <si>
    <t xml:space="preserve">Ведомственная структура расходов </t>
  </si>
  <si>
    <t xml:space="preserve">бюджета муниципального образования город Елабуга </t>
  </si>
  <si>
    <t>Вед-во</t>
  </si>
  <si>
    <t>Елабужский Городской Совет</t>
  </si>
  <si>
    <t>Исполнительный комитет города Елабуга Елабужского муниципального района Республики Татарстан</t>
  </si>
  <si>
    <t>Приложение 5</t>
  </si>
  <si>
    <t>Непрограммные направления расходов</t>
  </si>
  <si>
    <t>99 0 00 0000 0</t>
  </si>
  <si>
    <t>99 0 00 0204 0</t>
  </si>
  <si>
    <t>99 0 00 0741 1</t>
  </si>
  <si>
    <t>НАЦИОНАЛЬНАЯ ЭКОНОМИКА</t>
  </si>
  <si>
    <t>Дорожное хозяйство</t>
  </si>
  <si>
    <t>09</t>
  </si>
  <si>
    <t>02 0 00 0000 0</t>
  </si>
  <si>
    <t>Основное мероприятие "Развитие физической культуры и спорта"</t>
  </si>
  <si>
    <t>Обеспечение деятельности подведомственных учреждений спортивной подготовки</t>
  </si>
  <si>
    <t>99 0 00 2560 0</t>
  </si>
  <si>
    <t>99 0 00 7801 0</t>
  </si>
  <si>
    <t>99 0 00 7803 0</t>
  </si>
  <si>
    <t>99 0 00 7805 0</t>
  </si>
  <si>
    <t>99 0 00 2570 0</t>
  </si>
  <si>
    <t>03 0 00 0000 0</t>
  </si>
  <si>
    <t>03 0 01 0000 0</t>
  </si>
  <si>
    <t>03 0 01 4820 0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</si>
  <si>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</si>
  <si>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</si>
  <si>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</si>
  <si>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99 0 00 0295 0</t>
  </si>
  <si>
    <t>99 0 00 7802 0</t>
  </si>
  <si>
    <t>Муниципальная программа "Повышение безопасности дорожного движения в МО город Елабуга ЕМР"</t>
  </si>
  <si>
    <t>Условно утвержденные расходы</t>
  </si>
  <si>
    <t>УСЛОВНО УТВЕРЖДЕННЫЕ РАСХОДЫ</t>
  </si>
  <si>
    <t>99</t>
  </si>
  <si>
    <t>999 00 00</t>
  </si>
  <si>
    <t xml:space="preserve">на 2017 год </t>
  </si>
  <si>
    <t xml:space="preserve">от «   » декабря 2016г. № </t>
  </si>
  <si>
    <t>Таблица 1</t>
  </si>
  <si>
    <t>Таблица 2</t>
  </si>
  <si>
    <t>2018 год</t>
  </si>
  <si>
    <t>2019 год</t>
  </si>
  <si>
    <t>на плановый период 2018-2019 годов</t>
  </si>
  <si>
    <t>12</t>
  </si>
  <si>
    <t>Мероприятия по повышению безопасности дорожного движения</t>
  </si>
  <si>
    <t>Другие вопросы в области национальной экономики</t>
  </si>
  <si>
    <t>Муниципальная программа по содержанию мест захоронений</t>
  </si>
  <si>
    <t>Содержание кладбищ</t>
  </si>
  <si>
    <t>Б1 0 00 0000 0</t>
  </si>
  <si>
    <t>Б1 0 00 7804 0</t>
  </si>
  <si>
    <t>02 0 01 1099 0</t>
  </si>
  <si>
    <t>99 0 00 7605 0</t>
  </si>
  <si>
    <t>Содержание парков и скверов</t>
  </si>
  <si>
    <t>99 0 00 7807 0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</si>
</sst>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wrapText="1"/>
    </xf>
    <xf numFmtId="187" fontId="3" fillId="33" borderId="12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187" fontId="3" fillId="33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33" borderId="10" xfId="0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49" fontId="4" fillId="0" borderId="10" xfId="0" applyNumberFormat="1" applyFont="1" applyFill="1" applyBorder="1" applyAlignment="1">
      <alignment horizontal="distributed"/>
    </xf>
    <xf numFmtId="49" fontId="3" fillId="33" borderId="10" xfId="0" applyNumberFormat="1" applyFont="1" applyFill="1" applyBorder="1" applyAlignment="1">
      <alignment horizontal="distributed"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187" fontId="3" fillId="33" borderId="18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distributed" wrapText="1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19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11" xfId="0" applyFont="1" applyBorder="1" applyAlignment="1">
      <alignment horizontal="justify" wrapText="1"/>
    </xf>
    <xf numFmtId="0" fontId="1" fillId="0" borderId="0" xfId="0" applyFont="1" applyBorder="1" applyAlignment="1">
      <alignment horizontal="right" wrapText="1"/>
    </xf>
    <xf numFmtId="0" fontId="1" fillId="0" borderId="21" xfId="0" applyFont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distributed"/>
    </xf>
    <xf numFmtId="49" fontId="5" fillId="0" borderId="10" xfId="0" applyNumberFormat="1" applyFont="1" applyFill="1" applyBorder="1" applyAlignment="1">
      <alignment horizontal="right"/>
    </xf>
    <xf numFmtId="187" fontId="5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/>
    </xf>
    <xf numFmtId="187" fontId="1" fillId="0" borderId="22" xfId="0" applyNumberFormat="1" applyFont="1" applyFill="1" applyBorder="1" applyAlignment="1">
      <alignment/>
    </xf>
    <xf numFmtId="187" fontId="3" fillId="33" borderId="23" xfId="0" applyNumberFormat="1" applyFont="1" applyFill="1" applyBorder="1" applyAlignment="1">
      <alignment/>
    </xf>
    <xf numFmtId="187" fontId="4" fillId="0" borderId="24" xfId="0" applyNumberFormat="1" applyFont="1" applyFill="1" applyBorder="1" applyAlignment="1">
      <alignment/>
    </xf>
    <xf numFmtId="187" fontId="1" fillId="0" borderId="24" xfId="0" applyNumberFormat="1" applyFont="1" applyFill="1" applyBorder="1" applyAlignment="1">
      <alignment/>
    </xf>
    <xf numFmtId="187" fontId="5" fillId="0" borderId="24" xfId="0" applyNumberFormat="1" applyFont="1" applyFill="1" applyBorder="1" applyAlignment="1">
      <alignment/>
    </xf>
    <xf numFmtId="187" fontId="3" fillId="0" borderId="24" xfId="0" applyNumberFormat="1" applyFont="1" applyFill="1" applyBorder="1" applyAlignment="1">
      <alignment/>
    </xf>
    <xf numFmtId="187" fontId="3" fillId="33" borderId="24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187" fontId="4" fillId="0" borderId="2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 wrapText="1"/>
    </xf>
    <xf numFmtId="187" fontId="3" fillId="33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right"/>
    </xf>
    <xf numFmtId="49" fontId="1" fillId="0" borderId="27" xfId="0" applyNumberFormat="1" applyFont="1" applyFill="1" applyBorder="1" applyAlignment="1">
      <alignment horizontal="distributed"/>
    </xf>
    <xf numFmtId="187" fontId="1" fillId="0" borderId="27" xfId="0" applyNumberFormat="1" applyFont="1" applyFill="1" applyBorder="1" applyAlignment="1">
      <alignment/>
    </xf>
    <xf numFmtId="187" fontId="1" fillId="0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distributed"/>
    </xf>
    <xf numFmtId="187" fontId="1" fillId="0" borderId="0" xfId="0" applyNumberFormat="1" applyFont="1" applyFill="1" applyBorder="1" applyAlignment="1">
      <alignment/>
    </xf>
    <xf numFmtId="0" fontId="3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horizontal="right" wrapText="1"/>
    </xf>
    <xf numFmtId="49" fontId="3" fillId="33" borderId="31" xfId="0" applyNumberFormat="1" applyFont="1" applyFill="1" applyBorder="1" applyAlignment="1">
      <alignment horizontal="right"/>
    </xf>
    <xf numFmtId="49" fontId="3" fillId="33" borderId="31" xfId="0" applyNumberFormat="1" applyFont="1" applyFill="1" applyBorder="1" applyAlignment="1">
      <alignment horizontal="distributed"/>
    </xf>
    <xf numFmtId="187" fontId="3" fillId="33" borderId="31" xfId="0" applyNumberFormat="1" applyFont="1" applyFill="1" applyBorder="1" applyAlignment="1">
      <alignment/>
    </xf>
    <xf numFmtId="187" fontId="3" fillId="33" borderId="32" xfId="0" applyNumberFormat="1" applyFont="1" applyFill="1" applyBorder="1" applyAlignment="1">
      <alignment/>
    </xf>
    <xf numFmtId="18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90" zoomScaleNormal="90" zoomScalePageLayoutView="0" workbookViewId="0" topLeftCell="A58">
      <selection activeCell="A64" sqref="A64"/>
    </sheetView>
  </sheetViews>
  <sheetFormatPr defaultColWidth="9.140625" defaultRowHeight="12.75"/>
  <cols>
    <col min="1" max="1" width="45.7109375" style="3" customWidth="1"/>
    <col min="2" max="2" width="8.8515625" style="21" customWidth="1"/>
    <col min="3" max="3" width="9.140625" style="3" customWidth="1"/>
    <col min="4" max="4" width="9.00390625" style="3" bestFit="1" customWidth="1"/>
    <col min="5" max="5" width="14.7109375" style="3" customWidth="1"/>
    <col min="6" max="6" width="7.57421875" style="3" customWidth="1"/>
    <col min="7" max="7" width="13.7109375" style="3" customWidth="1"/>
    <col min="8" max="16384" width="9.140625" style="3" customWidth="1"/>
  </cols>
  <sheetData>
    <row r="1" spans="1:9" s="17" customFormat="1" ht="14.25" customHeight="1">
      <c r="A1" s="16"/>
      <c r="B1" s="63"/>
      <c r="D1" s="18"/>
      <c r="E1" s="17" t="s">
        <v>55</v>
      </c>
      <c r="G1" s="19"/>
      <c r="H1" s="19"/>
      <c r="I1" s="19"/>
    </row>
    <row r="2" spans="1:9" s="17" customFormat="1" ht="13.5" customHeight="1">
      <c r="A2" s="16"/>
      <c r="B2" s="63"/>
      <c r="D2" s="18"/>
      <c r="E2" s="17" t="s">
        <v>38</v>
      </c>
      <c r="G2" s="19"/>
      <c r="H2" s="19"/>
      <c r="I2" s="19"/>
    </row>
    <row r="3" spans="1:9" s="17" customFormat="1" ht="15.75" customHeight="1">
      <c r="A3" s="16"/>
      <c r="B3" s="63"/>
      <c r="D3" s="18"/>
      <c r="E3" s="17" t="s">
        <v>39</v>
      </c>
      <c r="G3" s="19"/>
      <c r="H3" s="19"/>
      <c r="I3" s="19"/>
    </row>
    <row r="4" spans="1:9" s="17" customFormat="1" ht="15" customHeight="1">
      <c r="A4" s="16"/>
      <c r="B4" s="63"/>
      <c r="D4" s="18"/>
      <c r="E4" s="17" t="s">
        <v>85</v>
      </c>
      <c r="G4" s="19"/>
      <c r="H4" s="19"/>
      <c r="I4" s="19"/>
    </row>
    <row r="5" spans="1:4" ht="15">
      <c r="A5" s="20"/>
      <c r="B5" s="64"/>
      <c r="C5" s="20"/>
      <c r="D5" s="21" t="s">
        <v>34</v>
      </c>
    </row>
    <row r="6" spans="1:9" s="17" customFormat="1" ht="15.75" customHeight="1">
      <c r="A6" s="18"/>
      <c r="B6" s="22"/>
      <c r="C6" s="18"/>
      <c r="D6" s="18"/>
      <c r="F6" s="18"/>
      <c r="G6" s="22" t="s">
        <v>86</v>
      </c>
      <c r="H6" s="18"/>
      <c r="I6" s="18"/>
    </row>
    <row r="7" spans="1:7" ht="16.5">
      <c r="A7" s="106" t="s">
        <v>50</v>
      </c>
      <c r="B7" s="106"/>
      <c r="C7" s="106"/>
      <c r="D7" s="106"/>
      <c r="E7" s="106"/>
      <c r="F7" s="106"/>
      <c r="G7" s="106"/>
    </row>
    <row r="8" spans="1:7" ht="16.5">
      <c r="A8" s="106" t="s">
        <v>51</v>
      </c>
      <c r="B8" s="106"/>
      <c r="C8" s="106"/>
      <c r="D8" s="106"/>
      <c r="E8" s="106"/>
      <c r="F8" s="106"/>
      <c r="G8" s="106"/>
    </row>
    <row r="9" spans="1:7" ht="16.5">
      <c r="A9" s="106" t="s">
        <v>84</v>
      </c>
      <c r="B9" s="106"/>
      <c r="C9" s="106"/>
      <c r="D9" s="106"/>
      <c r="E9" s="106"/>
      <c r="F9" s="106"/>
      <c r="G9" s="106"/>
    </row>
    <row r="10" spans="1:7" ht="15.75" thickBot="1">
      <c r="A10" s="109"/>
      <c r="B10" s="109"/>
      <c r="C10" s="109"/>
      <c r="D10" s="109"/>
      <c r="E10" s="109"/>
      <c r="F10" s="109"/>
      <c r="G10" s="21" t="s">
        <v>0</v>
      </c>
    </row>
    <row r="11" spans="1:7" ht="15">
      <c r="A11" s="112" t="s">
        <v>1</v>
      </c>
      <c r="B11" s="114" t="s">
        <v>52</v>
      </c>
      <c r="C11" s="107" t="s">
        <v>2</v>
      </c>
      <c r="D11" s="107" t="s">
        <v>3</v>
      </c>
      <c r="E11" s="107" t="s">
        <v>4</v>
      </c>
      <c r="F11" s="107" t="s">
        <v>5</v>
      </c>
      <c r="G11" s="110" t="s">
        <v>33</v>
      </c>
    </row>
    <row r="12" spans="1:7" ht="15.75" thickBot="1">
      <c r="A12" s="113"/>
      <c r="B12" s="115"/>
      <c r="C12" s="108"/>
      <c r="D12" s="108"/>
      <c r="E12" s="108"/>
      <c r="F12" s="108"/>
      <c r="G12" s="111"/>
    </row>
    <row r="13" spans="1:8" s="54" customFormat="1" ht="15">
      <c r="A13" s="50" t="s">
        <v>53</v>
      </c>
      <c r="B13" s="51">
        <v>802</v>
      </c>
      <c r="C13" s="52"/>
      <c r="D13" s="52"/>
      <c r="E13" s="53"/>
      <c r="F13" s="52"/>
      <c r="G13" s="39">
        <f>G14</f>
        <v>23.6</v>
      </c>
      <c r="H13" s="5"/>
    </row>
    <row r="14" spans="1:7" s="5" customFormat="1" ht="15">
      <c r="A14" s="35" t="s">
        <v>6</v>
      </c>
      <c r="B14" s="58">
        <v>802</v>
      </c>
      <c r="C14" s="36" t="s">
        <v>7</v>
      </c>
      <c r="D14" s="36"/>
      <c r="E14" s="37"/>
      <c r="F14" s="38"/>
      <c r="G14" s="39">
        <f>G15</f>
        <v>23.6</v>
      </c>
    </row>
    <row r="15" spans="1:7" s="8" customFormat="1" ht="81">
      <c r="A15" s="25" t="s">
        <v>40</v>
      </c>
      <c r="B15" s="59">
        <v>802</v>
      </c>
      <c r="C15" s="6" t="s">
        <v>7</v>
      </c>
      <c r="D15" s="6" t="s">
        <v>8</v>
      </c>
      <c r="E15" s="40"/>
      <c r="F15" s="7"/>
      <c r="G15" s="26">
        <f>G17</f>
        <v>23.6</v>
      </c>
    </row>
    <row r="16" spans="1:7" s="12" customFormat="1" ht="15">
      <c r="A16" s="68" t="s">
        <v>56</v>
      </c>
      <c r="B16" s="60">
        <v>802</v>
      </c>
      <c r="C16" s="9" t="s">
        <v>7</v>
      </c>
      <c r="D16" s="9" t="s">
        <v>8</v>
      </c>
      <c r="E16" s="69" t="s">
        <v>57</v>
      </c>
      <c r="F16" s="11"/>
      <c r="G16" s="28">
        <f>G17</f>
        <v>23.6</v>
      </c>
    </row>
    <row r="17" spans="1:7" ht="15">
      <c r="A17" s="29" t="s">
        <v>9</v>
      </c>
      <c r="B17" s="61">
        <v>802</v>
      </c>
      <c r="C17" s="9" t="s">
        <v>7</v>
      </c>
      <c r="D17" s="9" t="s">
        <v>8</v>
      </c>
      <c r="E17" s="41" t="s">
        <v>58</v>
      </c>
      <c r="F17" s="13"/>
      <c r="G17" s="28">
        <f>G18</f>
        <v>23.6</v>
      </c>
    </row>
    <row r="18" spans="1:7" ht="30.75">
      <c r="A18" s="65" t="s">
        <v>42</v>
      </c>
      <c r="B18" s="66">
        <v>802</v>
      </c>
      <c r="C18" s="9" t="s">
        <v>7</v>
      </c>
      <c r="D18" s="9" t="s">
        <v>8</v>
      </c>
      <c r="E18" s="41" t="s">
        <v>58</v>
      </c>
      <c r="F18" s="13">
        <v>200</v>
      </c>
      <c r="G18" s="28">
        <v>23.6</v>
      </c>
    </row>
    <row r="19" spans="1:8" s="57" customFormat="1" ht="46.5">
      <c r="A19" s="32" t="s">
        <v>54</v>
      </c>
      <c r="B19" s="55">
        <v>804</v>
      </c>
      <c r="C19" s="23"/>
      <c r="D19" s="23"/>
      <c r="E19" s="43"/>
      <c r="F19" s="56"/>
      <c r="G19" s="39">
        <f>G20+G35+G44+G66+G75</f>
        <v>268449.9</v>
      </c>
      <c r="H19" s="5"/>
    </row>
    <row r="20" spans="1:7" s="5" customFormat="1" ht="15">
      <c r="A20" s="35" t="s">
        <v>6</v>
      </c>
      <c r="B20" s="58">
        <v>804</v>
      </c>
      <c r="C20" s="36" t="s">
        <v>7</v>
      </c>
      <c r="D20" s="36"/>
      <c r="E20" s="37"/>
      <c r="F20" s="38"/>
      <c r="G20" s="39">
        <f>G21+G27+G31</f>
        <v>6041.599999999999</v>
      </c>
    </row>
    <row r="21" spans="1:7" s="8" customFormat="1" ht="81">
      <c r="A21" s="25" t="s">
        <v>10</v>
      </c>
      <c r="B21" s="59">
        <v>804</v>
      </c>
      <c r="C21" s="6" t="s">
        <v>7</v>
      </c>
      <c r="D21" s="6" t="s">
        <v>11</v>
      </c>
      <c r="E21" s="40"/>
      <c r="F21" s="7"/>
      <c r="G21" s="26">
        <f>G22</f>
        <v>3317.7</v>
      </c>
    </row>
    <row r="22" spans="1:7" s="12" customFormat="1" ht="15">
      <c r="A22" s="68" t="s">
        <v>56</v>
      </c>
      <c r="B22" s="60">
        <v>804</v>
      </c>
      <c r="C22" s="70" t="s">
        <v>7</v>
      </c>
      <c r="D22" s="70" t="s">
        <v>11</v>
      </c>
      <c r="E22" s="69" t="s">
        <v>57</v>
      </c>
      <c r="F22" s="11"/>
      <c r="G22" s="71">
        <f>G23</f>
        <v>3317.7</v>
      </c>
    </row>
    <row r="23" spans="1:7" ht="15">
      <c r="A23" s="29" t="s">
        <v>9</v>
      </c>
      <c r="B23" s="61">
        <v>804</v>
      </c>
      <c r="C23" s="9" t="s">
        <v>7</v>
      </c>
      <c r="D23" s="9" t="s">
        <v>11</v>
      </c>
      <c r="E23" s="41" t="s">
        <v>58</v>
      </c>
      <c r="F23" s="13"/>
      <c r="G23" s="28">
        <f>G24+G25+G26</f>
        <v>3317.7</v>
      </c>
    </row>
    <row r="24" spans="1:7" ht="93">
      <c r="A24" s="29" t="s">
        <v>41</v>
      </c>
      <c r="B24" s="61">
        <v>804</v>
      </c>
      <c r="C24" s="9" t="s">
        <v>7</v>
      </c>
      <c r="D24" s="9" t="s">
        <v>11</v>
      </c>
      <c r="E24" s="41" t="s">
        <v>58</v>
      </c>
      <c r="F24" s="13">
        <v>100</v>
      </c>
      <c r="G24" s="28">
        <v>2173</v>
      </c>
    </row>
    <row r="25" spans="1:7" ht="30.75">
      <c r="A25" s="67" t="s">
        <v>42</v>
      </c>
      <c r="B25" s="62">
        <v>804</v>
      </c>
      <c r="C25" s="9" t="s">
        <v>7</v>
      </c>
      <c r="D25" s="9" t="s">
        <v>11</v>
      </c>
      <c r="E25" s="41" t="s">
        <v>58</v>
      </c>
      <c r="F25" s="13">
        <v>200</v>
      </c>
      <c r="G25" s="28">
        <v>1131.2</v>
      </c>
    </row>
    <row r="26" spans="1:7" ht="15">
      <c r="A26" s="29" t="s">
        <v>44</v>
      </c>
      <c r="B26" s="62">
        <v>804</v>
      </c>
      <c r="C26" s="9" t="s">
        <v>7</v>
      </c>
      <c r="D26" s="9" t="s">
        <v>11</v>
      </c>
      <c r="E26" s="41" t="s">
        <v>58</v>
      </c>
      <c r="F26" s="13">
        <v>800</v>
      </c>
      <c r="G26" s="28">
        <v>13.5</v>
      </c>
    </row>
    <row r="27" spans="1:7" s="8" customFormat="1" ht="15.75">
      <c r="A27" s="25" t="s">
        <v>37</v>
      </c>
      <c r="B27" s="59">
        <v>804</v>
      </c>
      <c r="C27" s="6" t="s">
        <v>7</v>
      </c>
      <c r="D27" s="6" t="s">
        <v>28</v>
      </c>
      <c r="E27" s="40"/>
      <c r="F27" s="7"/>
      <c r="G27" s="26">
        <f>G28</f>
        <v>2000</v>
      </c>
    </row>
    <row r="28" spans="1:7" s="12" customFormat="1" ht="15.75">
      <c r="A28" s="68" t="s">
        <v>56</v>
      </c>
      <c r="B28" s="60">
        <v>804</v>
      </c>
      <c r="C28" s="9" t="s">
        <v>7</v>
      </c>
      <c r="D28" s="9" t="s">
        <v>28</v>
      </c>
      <c r="E28" s="69" t="s">
        <v>57</v>
      </c>
      <c r="F28" s="7"/>
      <c r="G28" s="71">
        <f>G29</f>
        <v>2000</v>
      </c>
    </row>
    <row r="29" spans="1:7" ht="15">
      <c r="A29" s="27" t="s">
        <v>37</v>
      </c>
      <c r="B29" s="61">
        <v>804</v>
      </c>
      <c r="C29" s="9" t="s">
        <v>7</v>
      </c>
      <c r="D29" s="9" t="s">
        <v>28</v>
      </c>
      <c r="E29" s="41" t="s">
        <v>59</v>
      </c>
      <c r="F29" s="11"/>
      <c r="G29" s="28">
        <f>G30</f>
        <v>2000</v>
      </c>
    </row>
    <row r="30" spans="1:7" ht="15">
      <c r="A30" s="29" t="s">
        <v>44</v>
      </c>
      <c r="B30" s="61">
        <v>804</v>
      </c>
      <c r="C30" s="9" t="s">
        <v>7</v>
      </c>
      <c r="D30" s="9" t="s">
        <v>28</v>
      </c>
      <c r="E30" s="41" t="s">
        <v>59</v>
      </c>
      <c r="F30" s="9" t="s">
        <v>43</v>
      </c>
      <c r="G30" s="28">
        <v>2000</v>
      </c>
    </row>
    <row r="31" spans="1:7" ht="15.75">
      <c r="A31" s="25" t="s">
        <v>12</v>
      </c>
      <c r="B31" s="59">
        <v>804</v>
      </c>
      <c r="C31" s="6" t="s">
        <v>7</v>
      </c>
      <c r="D31" s="6" t="s">
        <v>13</v>
      </c>
      <c r="E31" s="40"/>
      <c r="F31" s="7"/>
      <c r="G31" s="30">
        <f>G32</f>
        <v>723.9</v>
      </c>
    </row>
    <row r="32" spans="1:8" ht="15">
      <c r="A32" s="68" t="s">
        <v>56</v>
      </c>
      <c r="B32" s="60">
        <v>804</v>
      </c>
      <c r="C32" s="70" t="s">
        <v>7</v>
      </c>
      <c r="D32" s="70">
        <v>13</v>
      </c>
      <c r="E32" s="69" t="s">
        <v>57</v>
      </c>
      <c r="F32" s="72"/>
      <c r="G32" s="71">
        <f>G33</f>
        <v>723.9</v>
      </c>
      <c r="H32" s="2"/>
    </row>
    <row r="33" spans="1:8" ht="30.75">
      <c r="A33" s="29" t="s">
        <v>31</v>
      </c>
      <c r="B33" s="61">
        <v>804</v>
      </c>
      <c r="C33" s="9" t="s">
        <v>7</v>
      </c>
      <c r="D33" s="9">
        <v>13</v>
      </c>
      <c r="E33" s="41" t="s">
        <v>77</v>
      </c>
      <c r="F33" s="1"/>
      <c r="G33" s="28">
        <f>G34</f>
        <v>723.9</v>
      </c>
      <c r="H33" s="2"/>
    </row>
    <row r="34" spans="1:8" ht="15">
      <c r="A34" s="29" t="s">
        <v>44</v>
      </c>
      <c r="B34" s="61">
        <v>804</v>
      </c>
      <c r="C34" s="9" t="s">
        <v>7</v>
      </c>
      <c r="D34" s="9">
        <v>13</v>
      </c>
      <c r="E34" s="41" t="s">
        <v>77</v>
      </c>
      <c r="F34" s="10">
        <v>800</v>
      </c>
      <c r="G34" s="28">
        <v>723.9</v>
      </c>
      <c r="H34" s="2"/>
    </row>
    <row r="35" spans="1:8" ht="15">
      <c r="A35" s="34" t="s">
        <v>60</v>
      </c>
      <c r="B35" s="23">
        <v>804</v>
      </c>
      <c r="C35" s="23" t="s">
        <v>11</v>
      </c>
      <c r="D35" s="23"/>
      <c r="E35" s="43"/>
      <c r="F35" s="24"/>
      <c r="G35" s="33">
        <f>G36+G40</f>
        <v>28500</v>
      </c>
      <c r="H35" s="2"/>
    </row>
    <row r="36" spans="1:8" ht="15.75">
      <c r="A36" s="31" t="s">
        <v>61</v>
      </c>
      <c r="B36" s="6">
        <v>804</v>
      </c>
      <c r="C36" s="6" t="s">
        <v>11</v>
      </c>
      <c r="D36" s="6" t="s">
        <v>62</v>
      </c>
      <c r="E36" s="41"/>
      <c r="F36" s="13"/>
      <c r="G36" s="26">
        <f>G37</f>
        <v>27000</v>
      </c>
      <c r="H36" s="2"/>
    </row>
    <row r="37" spans="1:8" ht="15.75">
      <c r="A37" s="68" t="s">
        <v>56</v>
      </c>
      <c r="B37" s="70">
        <v>804</v>
      </c>
      <c r="C37" s="70" t="s">
        <v>11</v>
      </c>
      <c r="D37" s="70" t="s">
        <v>62</v>
      </c>
      <c r="E37" s="69" t="s">
        <v>57</v>
      </c>
      <c r="F37" s="11"/>
      <c r="G37" s="26">
        <f>G38</f>
        <v>27000</v>
      </c>
      <c r="H37" s="2"/>
    </row>
    <row r="38" spans="1:8" ht="78">
      <c r="A38" s="29" t="s">
        <v>76</v>
      </c>
      <c r="B38" s="9">
        <v>804</v>
      </c>
      <c r="C38" s="9" t="s">
        <v>11</v>
      </c>
      <c r="D38" s="9" t="s">
        <v>62</v>
      </c>
      <c r="E38" s="41" t="s">
        <v>78</v>
      </c>
      <c r="F38" s="13"/>
      <c r="G38" s="28">
        <f>G39</f>
        <v>27000</v>
      </c>
      <c r="H38" s="2"/>
    </row>
    <row r="39" spans="1:8" ht="30.75">
      <c r="A39" s="29" t="s">
        <v>46</v>
      </c>
      <c r="B39" s="9">
        <v>804</v>
      </c>
      <c r="C39" s="9" t="s">
        <v>11</v>
      </c>
      <c r="D39" s="9" t="s">
        <v>62</v>
      </c>
      <c r="E39" s="41" t="s">
        <v>78</v>
      </c>
      <c r="F39" s="9" t="s">
        <v>45</v>
      </c>
      <c r="G39" s="28">
        <f>21500+3000+2500</f>
        <v>27000</v>
      </c>
      <c r="H39" s="2"/>
    </row>
    <row r="40" spans="1:8" ht="32.25">
      <c r="A40" s="31" t="s">
        <v>93</v>
      </c>
      <c r="B40" s="6">
        <v>804</v>
      </c>
      <c r="C40" s="6" t="s">
        <v>11</v>
      </c>
      <c r="D40" s="6" t="s">
        <v>91</v>
      </c>
      <c r="E40" s="41"/>
      <c r="F40" s="9"/>
      <c r="G40" s="26">
        <f>G41</f>
        <v>1500</v>
      </c>
      <c r="H40" s="2"/>
    </row>
    <row r="41" spans="1:8" ht="47.25">
      <c r="A41" s="68" t="s">
        <v>79</v>
      </c>
      <c r="B41" s="70">
        <v>804</v>
      </c>
      <c r="C41" s="70" t="s">
        <v>11</v>
      </c>
      <c r="D41" s="70" t="s">
        <v>91</v>
      </c>
      <c r="E41" s="69" t="s">
        <v>63</v>
      </c>
      <c r="F41" s="11"/>
      <c r="G41" s="26">
        <f>G42</f>
        <v>1500</v>
      </c>
      <c r="H41" s="2"/>
    </row>
    <row r="42" spans="1:8" ht="30.75">
      <c r="A42" s="29" t="s">
        <v>92</v>
      </c>
      <c r="B42" s="9">
        <v>804</v>
      </c>
      <c r="C42" s="9" t="s">
        <v>11</v>
      </c>
      <c r="D42" s="9" t="s">
        <v>91</v>
      </c>
      <c r="E42" s="41" t="s">
        <v>98</v>
      </c>
      <c r="F42" s="10"/>
      <c r="G42" s="28">
        <f>G43</f>
        <v>1500</v>
      </c>
      <c r="H42" s="2"/>
    </row>
    <row r="43" spans="1:8" ht="30.75">
      <c r="A43" s="29" t="s">
        <v>46</v>
      </c>
      <c r="B43" s="9">
        <v>804</v>
      </c>
      <c r="C43" s="9" t="s">
        <v>11</v>
      </c>
      <c r="D43" s="9" t="s">
        <v>91</v>
      </c>
      <c r="E43" s="41" t="s">
        <v>98</v>
      </c>
      <c r="F43" s="10">
        <v>200</v>
      </c>
      <c r="G43" s="28">
        <v>1500</v>
      </c>
      <c r="H43" s="2"/>
    </row>
    <row r="44" spans="1:7" s="5" customFormat="1" ht="30.75">
      <c r="A44" s="34" t="s">
        <v>14</v>
      </c>
      <c r="B44" s="23">
        <v>804</v>
      </c>
      <c r="C44" s="23" t="s">
        <v>15</v>
      </c>
      <c r="D44" s="23"/>
      <c r="E44" s="43"/>
      <c r="F44" s="24"/>
      <c r="G44" s="33">
        <f>G45+G49+G53</f>
        <v>68495.6</v>
      </c>
    </row>
    <row r="45" spans="1:7" s="5" customFormat="1" ht="15.75">
      <c r="A45" s="31" t="s">
        <v>16</v>
      </c>
      <c r="B45" s="6">
        <v>804</v>
      </c>
      <c r="C45" s="6" t="s">
        <v>15</v>
      </c>
      <c r="D45" s="6" t="s">
        <v>7</v>
      </c>
      <c r="E45" s="42"/>
      <c r="F45" s="10"/>
      <c r="G45" s="26">
        <f>G46</f>
        <v>32120</v>
      </c>
    </row>
    <row r="46" spans="1:7" s="5" customFormat="1" ht="15">
      <c r="A46" s="68" t="s">
        <v>56</v>
      </c>
      <c r="B46" s="70">
        <v>804</v>
      </c>
      <c r="C46" s="70" t="s">
        <v>15</v>
      </c>
      <c r="D46" s="70" t="s">
        <v>7</v>
      </c>
      <c r="E46" s="69" t="s">
        <v>57</v>
      </c>
      <c r="F46" s="73"/>
      <c r="G46" s="71">
        <f>G47</f>
        <v>32120</v>
      </c>
    </row>
    <row r="47" spans="1:7" s="5" customFormat="1" ht="78">
      <c r="A47" s="29" t="s">
        <v>75</v>
      </c>
      <c r="B47" s="9">
        <v>804</v>
      </c>
      <c r="C47" s="9" t="s">
        <v>15</v>
      </c>
      <c r="D47" s="9" t="s">
        <v>7</v>
      </c>
      <c r="E47" s="41" t="s">
        <v>66</v>
      </c>
      <c r="F47" s="9"/>
      <c r="G47" s="28">
        <f>G48</f>
        <v>32120</v>
      </c>
    </row>
    <row r="48" spans="1:7" s="5" customFormat="1" ht="15">
      <c r="A48" s="29" t="s">
        <v>47</v>
      </c>
      <c r="B48" s="9">
        <v>804</v>
      </c>
      <c r="C48" s="9" t="s">
        <v>15</v>
      </c>
      <c r="D48" s="9" t="s">
        <v>7</v>
      </c>
      <c r="E48" s="41" t="s">
        <v>66</v>
      </c>
      <c r="F48" s="9" t="s">
        <v>32</v>
      </c>
      <c r="G48" s="28">
        <f>31537+583</f>
        <v>32120</v>
      </c>
    </row>
    <row r="49" spans="1:7" s="5" customFormat="1" ht="15.75">
      <c r="A49" s="31" t="s">
        <v>17</v>
      </c>
      <c r="B49" s="6">
        <v>804</v>
      </c>
      <c r="C49" s="6" t="s">
        <v>15</v>
      </c>
      <c r="D49" s="6" t="s">
        <v>18</v>
      </c>
      <c r="E49" s="42"/>
      <c r="F49" s="4"/>
      <c r="G49" s="26">
        <f>G51</f>
        <v>330</v>
      </c>
    </row>
    <row r="50" spans="1:7" s="5" customFormat="1" ht="15.75">
      <c r="A50" s="68" t="s">
        <v>56</v>
      </c>
      <c r="B50" s="70">
        <v>804</v>
      </c>
      <c r="C50" s="70" t="s">
        <v>15</v>
      </c>
      <c r="D50" s="70" t="s">
        <v>18</v>
      </c>
      <c r="E50" s="69" t="s">
        <v>57</v>
      </c>
      <c r="F50" s="7"/>
      <c r="G50" s="71">
        <f>G51</f>
        <v>330</v>
      </c>
    </row>
    <row r="51" spans="1:7" s="5" customFormat="1" ht="30.75">
      <c r="A51" s="29" t="s">
        <v>19</v>
      </c>
      <c r="B51" s="9">
        <v>804</v>
      </c>
      <c r="C51" s="9" t="s">
        <v>15</v>
      </c>
      <c r="D51" s="9" t="s">
        <v>18</v>
      </c>
      <c r="E51" s="41" t="s">
        <v>99</v>
      </c>
      <c r="F51" s="13"/>
      <c r="G51" s="28">
        <f>G52</f>
        <v>330</v>
      </c>
    </row>
    <row r="52" spans="1:8" s="8" customFormat="1" ht="31.5">
      <c r="A52" s="29" t="s">
        <v>46</v>
      </c>
      <c r="B52" s="9">
        <v>804</v>
      </c>
      <c r="C52" s="9" t="s">
        <v>15</v>
      </c>
      <c r="D52" s="9" t="s">
        <v>18</v>
      </c>
      <c r="E52" s="41" t="s">
        <v>99</v>
      </c>
      <c r="F52" s="9" t="s">
        <v>45</v>
      </c>
      <c r="G52" s="28">
        <v>330</v>
      </c>
      <c r="H52" s="14"/>
    </row>
    <row r="53" spans="1:7" ht="15.75">
      <c r="A53" s="31" t="s">
        <v>20</v>
      </c>
      <c r="B53" s="6">
        <v>804</v>
      </c>
      <c r="C53" s="6" t="s">
        <v>15</v>
      </c>
      <c r="D53" s="6" t="s">
        <v>8</v>
      </c>
      <c r="E53" s="40"/>
      <c r="F53" s="7"/>
      <c r="G53" s="26">
        <f>G54+G57</f>
        <v>36045.6</v>
      </c>
    </row>
    <row r="54" spans="1:7" ht="30.75">
      <c r="A54" s="29" t="s">
        <v>94</v>
      </c>
      <c r="B54" s="9">
        <v>804</v>
      </c>
      <c r="C54" s="9" t="s">
        <v>15</v>
      </c>
      <c r="D54" s="9" t="s">
        <v>8</v>
      </c>
      <c r="E54" s="41" t="s">
        <v>96</v>
      </c>
      <c r="F54" s="13"/>
      <c r="G54" s="28">
        <f>G55</f>
        <v>500</v>
      </c>
    </row>
    <row r="55" spans="1:7" ht="15">
      <c r="A55" s="29" t="s">
        <v>95</v>
      </c>
      <c r="B55" s="9">
        <v>804</v>
      </c>
      <c r="C55" s="9" t="s">
        <v>15</v>
      </c>
      <c r="D55" s="9" t="s">
        <v>8</v>
      </c>
      <c r="E55" s="41" t="s">
        <v>97</v>
      </c>
      <c r="F55" s="13"/>
      <c r="G55" s="28">
        <f>G56</f>
        <v>500</v>
      </c>
    </row>
    <row r="56" spans="1:7" ht="30.75">
      <c r="A56" s="29" t="s">
        <v>46</v>
      </c>
      <c r="B56" s="9">
        <v>804</v>
      </c>
      <c r="C56" s="9" t="s">
        <v>15</v>
      </c>
      <c r="D56" s="9" t="s">
        <v>8</v>
      </c>
      <c r="E56" s="41" t="s">
        <v>97</v>
      </c>
      <c r="F56" s="9" t="s">
        <v>45</v>
      </c>
      <c r="G56" s="28">
        <v>500</v>
      </c>
    </row>
    <row r="57" spans="1:7" ht="15">
      <c r="A57" s="68" t="s">
        <v>56</v>
      </c>
      <c r="B57" s="70">
        <v>804</v>
      </c>
      <c r="C57" s="70" t="s">
        <v>15</v>
      </c>
      <c r="D57" s="70" t="s">
        <v>8</v>
      </c>
      <c r="E57" s="69" t="s">
        <v>57</v>
      </c>
      <c r="F57" s="70"/>
      <c r="G57" s="71">
        <f>G58+G60+G62+G64</f>
        <v>35545.6</v>
      </c>
    </row>
    <row r="58" spans="1:7" ht="15">
      <c r="A58" s="29" t="s">
        <v>21</v>
      </c>
      <c r="B58" s="9">
        <v>804</v>
      </c>
      <c r="C58" s="9" t="s">
        <v>15</v>
      </c>
      <c r="D58" s="9" t="s">
        <v>8</v>
      </c>
      <c r="E58" s="41" t="s">
        <v>67</v>
      </c>
      <c r="F58" s="13"/>
      <c r="G58" s="28">
        <f>G59</f>
        <v>22877.1</v>
      </c>
    </row>
    <row r="59" spans="1:7" ht="30.75">
      <c r="A59" s="29" t="s">
        <v>46</v>
      </c>
      <c r="B59" s="9">
        <v>804</v>
      </c>
      <c r="C59" s="9" t="s">
        <v>15</v>
      </c>
      <c r="D59" s="9" t="s">
        <v>8</v>
      </c>
      <c r="E59" s="41" t="s">
        <v>67</v>
      </c>
      <c r="F59" s="9" t="s">
        <v>45</v>
      </c>
      <c r="G59" s="28">
        <v>22877.1</v>
      </c>
    </row>
    <row r="60" spans="1:7" ht="15">
      <c r="A60" s="29" t="s">
        <v>22</v>
      </c>
      <c r="B60" s="9">
        <v>804</v>
      </c>
      <c r="C60" s="9" t="s">
        <v>15</v>
      </c>
      <c r="D60" s="9" t="s">
        <v>8</v>
      </c>
      <c r="E60" s="41" t="s">
        <v>68</v>
      </c>
      <c r="F60" s="13"/>
      <c r="G60" s="28">
        <f>G61</f>
        <v>5000</v>
      </c>
    </row>
    <row r="61" spans="1:7" ht="30.75">
      <c r="A61" s="29" t="s">
        <v>46</v>
      </c>
      <c r="B61" s="9">
        <v>804</v>
      </c>
      <c r="C61" s="9" t="s">
        <v>15</v>
      </c>
      <c r="D61" s="9" t="s">
        <v>8</v>
      </c>
      <c r="E61" s="41" t="s">
        <v>68</v>
      </c>
      <c r="F61" s="9" t="s">
        <v>45</v>
      </c>
      <c r="G61" s="28">
        <v>5000</v>
      </c>
    </row>
    <row r="62" spans="1:7" ht="30.75">
      <c r="A62" s="29" t="s">
        <v>23</v>
      </c>
      <c r="B62" s="9">
        <v>804</v>
      </c>
      <c r="C62" s="9" t="s">
        <v>15</v>
      </c>
      <c r="D62" s="9" t="s">
        <v>8</v>
      </c>
      <c r="E62" s="41" t="s">
        <v>69</v>
      </c>
      <c r="F62" s="13"/>
      <c r="G62" s="28">
        <f>G63</f>
        <v>5668.5</v>
      </c>
    </row>
    <row r="63" spans="1:7" ht="30.75">
      <c r="A63" s="29" t="s">
        <v>46</v>
      </c>
      <c r="B63" s="9">
        <v>804</v>
      </c>
      <c r="C63" s="9" t="s">
        <v>15</v>
      </c>
      <c r="D63" s="9" t="s">
        <v>8</v>
      </c>
      <c r="E63" s="41" t="s">
        <v>69</v>
      </c>
      <c r="F63" s="9" t="s">
        <v>45</v>
      </c>
      <c r="G63" s="28">
        <v>5668.5</v>
      </c>
    </row>
    <row r="64" spans="1:7" ht="15">
      <c r="A64" s="29" t="s">
        <v>100</v>
      </c>
      <c r="B64" s="9">
        <v>804</v>
      </c>
      <c r="C64" s="9" t="s">
        <v>15</v>
      </c>
      <c r="D64" s="9" t="s">
        <v>8</v>
      </c>
      <c r="E64" s="41" t="s">
        <v>101</v>
      </c>
      <c r="F64" s="13"/>
      <c r="G64" s="28">
        <f>G65</f>
        <v>2000</v>
      </c>
    </row>
    <row r="65" spans="1:7" ht="30.75">
      <c r="A65" s="29" t="s">
        <v>46</v>
      </c>
      <c r="B65" s="9">
        <v>804</v>
      </c>
      <c r="C65" s="9" t="s">
        <v>15</v>
      </c>
      <c r="D65" s="9" t="s">
        <v>8</v>
      </c>
      <c r="E65" s="41" t="s">
        <v>101</v>
      </c>
      <c r="F65" s="9" t="s">
        <v>45</v>
      </c>
      <c r="G65" s="28">
        <v>2000</v>
      </c>
    </row>
    <row r="66" spans="1:7" ht="15">
      <c r="A66" s="32" t="s">
        <v>24</v>
      </c>
      <c r="B66" s="23">
        <v>804</v>
      </c>
      <c r="C66" s="23" t="s">
        <v>25</v>
      </c>
      <c r="D66" s="23"/>
      <c r="E66" s="46"/>
      <c r="F66" s="23"/>
      <c r="G66" s="33">
        <f>G67+G71</f>
        <v>63624.1</v>
      </c>
    </row>
    <row r="67" spans="1:7" s="5" customFormat="1" ht="15.75">
      <c r="A67" s="25" t="s">
        <v>26</v>
      </c>
      <c r="B67" s="6">
        <v>804</v>
      </c>
      <c r="C67" s="6" t="s">
        <v>25</v>
      </c>
      <c r="D67" s="6" t="s">
        <v>7</v>
      </c>
      <c r="E67" s="40"/>
      <c r="F67" s="6"/>
      <c r="G67" s="26">
        <f>G68</f>
        <v>58637.1</v>
      </c>
    </row>
    <row r="68" spans="1:7" s="8" customFormat="1" ht="15.75">
      <c r="A68" s="29" t="s">
        <v>56</v>
      </c>
      <c r="B68" s="9">
        <v>804</v>
      </c>
      <c r="C68" s="9" t="s">
        <v>25</v>
      </c>
      <c r="D68" s="9" t="s">
        <v>7</v>
      </c>
      <c r="E68" s="44" t="s">
        <v>57</v>
      </c>
      <c r="F68" s="9"/>
      <c r="G68" s="28">
        <f>G69</f>
        <v>58637.1</v>
      </c>
    </row>
    <row r="69" spans="1:7" ht="78">
      <c r="A69" s="29" t="s">
        <v>74</v>
      </c>
      <c r="B69" s="9">
        <v>804</v>
      </c>
      <c r="C69" s="9" t="s">
        <v>25</v>
      </c>
      <c r="D69" s="9" t="s">
        <v>7</v>
      </c>
      <c r="E69" s="44" t="s">
        <v>70</v>
      </c>
      <c r="F69" s="9"/>
      <c r="G69" s="28">
        <f>G70</f>
        <v>58637.1</v>
      </c>
    </row>
    <row r="70" spans="1:7" ht="15">
      <c r="A70" s="29" t="s">
        <v>47</v>
      </c>
      <c r="B70" s="9">
        <v>804</v>
      </c>
      <c r="C70" s="9" t="s">
        <v>25</v>
      </c>
      <c r="D70" s="9" t="s">
        <v>7</v>
      </c>
      <c r="E70" s="44" t="s">
        <v>70</v>
      </c>
      <c r="F70" s="9" t="s">
        <v>32</v>
      </c>
      <c r="G70" s="28">
        <v>58637.1</v>
      </c>
    </row>
    <row r="71" spans="1:7" ht="15.75">
      <c r="A71" s="25" t="s">
        <v>36</v>
      </c>
      <c r="B71" s="6">
        <v>804</v>
      </c>
      <c r="C71" s="6" t="s">
        <v>25</v>
      </c>
      <c r="D71" s="6" t="s">
        <v>18</v>
      </c>
      <c r="E71" s="40"/>
      <c r="F71" s="6"/>
      <c r="G71" s="26">
        <f>G72</f>
        <v>4987</v>
      </c>
    </row>
    <row r="72" spans="1:7" s="8" customFormat="1" ht="15.75">
      <c r="A72" s="29" t="s">
        <v>56</v>
      </c>
      <c r="B72" s="9">
        <v>804</v>
      </c>
      <c r="C72" s="9" t="s">
        <v>25</v>
      </c>
      <c r="D72" s="9" t="s">
        <v>18</v>
      </c>
      <c r="E72" s="44" t="s">
        <v>57</v>
      </c>
      <c r="F72" s="9"/>
      <c r="G72" s="28">
        <f>G73</f>
        <v>4987</v>
      </c>
    </row>
    <row r="73" spans="1:7" ht="78">
      <c r="A73" s="29" t="s">
        <v>74</v>
      </c>
      <c r="B73" s="9">
        <v>804</v>
      </c>
      <c r="C73" s="9" t="s">
        <v>25</v>
      </c>
      <c r="D73" s="9" t="s">
        <v>18</v>
      </c>
      <c r="E73" s="44" t="s">
        <v>70</v>
      </c>
      <c r="F73" s="9"/>
      <c r="G73" s="28">
        <f>G74</f>
        <v>4987</v>
      </c>
    </row>
    <row r="74" spans="1:7" ht="15">
      <c r="A74" s="29" t="s">
        <v>47</v>
      </c>
      <c r="B74" s="9">
        <v>804</v>
      </c>
      <c r="C74" s="9" t="s">
        <v>25</v>
      </c>
      <c r="D74" s="9" t="s">
        <v>18</v>
      </c>
      <c r="E74" s="44" t="s">
        <v>70</v>
      </c>
      <c r="F74" s="9" t="s">
        <v>32</v>
      </c>
      <c r="G74" s="28">
        <v>4987</v>
      </c>
    </row>
    <row r="75" spans="1:7" ht="15">
      <c r="A75" s="32" t="s">
        <v>27</v>
      </c>
      <c r="B75" s="23">
        <v>804</v>
      </c>
      <c r="C75" s="23" t="s">
        <v>28</v>
      </c>
      <c r="D75" s="23"/>
      <c r="E75" s="46"/>
      <c r="F75" s="23"/>
      <c r="G75" s="33">
        <f>G76</f>
        <v>101788.59999999999</v>
      </c>
    </row>
    <row r="76" spans="1:7" s="5" customFormat="1" ht="15.75">
      <c r="A76" s="25" t="s">
        <v>29</v>
      </c>
      <c r="B76" s="6">
        <v>804</v>
      </c>
      <c r="C76" s="6" t="s">
        <v>28</v>
      </c>
      <c r="D76" s="6" t="s">
        <v>7</v>
      </c>
      <c r="E76" s="45"/>
      <c r="F76" s="6"/>
      <c r="G76" s="26">
        <f>G77</f>
        <v>101788.59999999999</v>
      </c>
    </row>
    <row r="77" spans="1:7" s="8" customFormat="1" ht="31.5">
      <c r="A77" s="29" t="s">
        <v>35</v>
      </c>
      <c r="B77" s="9">
        <v>804</v>
      </c>
      <c r="C77" s="9" t="s">
        <v>28</v>
      </c>
      <c r="D77" s="9" t="s">
        <v>7</v>
      </c>
      <c r="E77" s="44" t="s">
        <v>71</v>
      </c>
      <c r="F77" s="9"/>
      <c r="G77" s="28">
        <f>G78</f>
        <v>101788.59999999999</v>
      </c>
    </row>
    <row r="78" spans="1:7" ht="31.5">
      <c r="A78" s="29" t="s">
        <v>64</v>
      </c>
      <c r="B78" s="9">
        <v>804</v>
      </c>
      <c r="C78" s="9" t="s">
        <v>28</v>
      </c>
      <c r="D78" s="9" t="s">
        <v>7</v>
      </c>
      <c r="E78" s="44" t="s">
        <v>72</v>
      </c>
      <c r="F78" s="6"/>
      <c r="G78" s="28">
        <f>G79</f>
        <v>101788.59999999999</v>
      </c>
    </row>
    <row r="79" spans="1:7" ht="33.75" customHeight="1">
      <c r="A79" s="29" t="s">
        <v>65</v>
      </c>
      <c r="B79" s="9">
        <v>804</v>
      </c>
      <c r="C79" s="9" t="s">
        <v>28</v>
      </c>
      <c r="D79" s="9" t="s">
        <v>7</v>
      </c>
      <c r="E79" s="44" t="s">
        <v>73</v>
      </c>
      <c r="F79" s="9"/>
      <c r="G79" s="28">
        <f>G80</f>
        <v>101788.59999999999</v>
      </c>
    </row>
    <row r="80" spans="1:7" ht="47.25" thickBot="1">
      <c r="A80" s="29" t="s">
        <v>48</v>
      </c>
      <c r="B80" s="9">
        <v>804</v>
      </c>
      <c r="C80" s="9" t="s">
        <v>28</v>
      </c>
      <c r="D80" s="9" t="s">
        <v>7</v>
      </c>
      <c r="E80" s="44" t="s">
        <v>73</v>
      </c>
      <c r="F80" s="9" t="s">
        <v>49</v>
      </c>
      <c r="G80" s="28">
        <v>101788.59999999999</v>
      </c>
    </row>
    <row r="81" spans="1:8" ht="15.75" thickBot="1">
      <c r="A81" s="47" t="s">
        <v>30</v>
      </c>
      <c r="B81" s="48"/>
      <c r="C81" s="48"/>
      <c r="D81" s="48"/>
      <c r="E81" s="48"/>
      <c r="F81" s="48"/>
      <c r="G81" s="49">
        <f>G13+G19</f>
        <v>268473.5</v>
      </c>
      <c r="H81" s="15"/>
    </row>
  </sheetData>
  <sheetProtection/>
  <mergeCells count="11">
    <mergeCell ref="B11:B12"/>
    <mergeCell ref="A7:G7"/>
    <mergeCell ref="A9:G9"/>
    <mergeCell ref="F11:F12"/>
    <mergeCell ref="A10:F10"/>
    <mergeCell ref="A8:G8"/>
    <mergeCell ref="G11:G12"/>
    <mergeCell ref="A11:A12"/>
    <mergeCell ref="C11:C12"/>
    <mergeCell ref="D11:D12"/>
    <mergeCell ref="E11:E12"/>
  </mergeCells>
  <printOptions horizontalCentered="1"/>
  <pageMargins left="1.1811023622047245" right="0.2362204724409449" top="0.31496062992125984" bottom="0.2755905511811024" header="0.35433070866141736" footer="0.1968503937007874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zoomScale="80" zoomScaleNormal="80" zoomScalePageLayoutView="0" workbookViewId="0" topLeftCell="A40">
      <selection activeCell="G62" sqref="G62"/>
    </sheetView>
  </sheetViews>
  <sheetFormatPr defaultColWidth="9.140625" defaultRowHeight="12.75"/>
  <cols>
    <col min="1" max="1" width="45.7109375" style="3" customWidth="1"/>
    <col min="2" max="2" width="8.8515625" style="21" customWidth="1"/>
    <col min="3" max="3" width="9.140625" style="3" customWidth="1"/>
    <col min="4" max="4" width="9.00390625" style="3" bestFit="1" customWidth="1"/>
    <col min="5" max="5" width="15.421875" style="3" customWidth="1"/>
    <col min="6" max="6" width="7.57421875" style="3" customWidth="1"/>
    <col min="7" max="8" width="11.28125" style="3" customWidth="1"/>
    <col min="9" max="10" width="9.140625" style="3" customWidth="1"/>
    <col min="11" max="12" width="10.8515625" style="3" hidden="1" customWidth="1"/>
    <col min="13" max="14" width="0" style="3" hidden="1" customWidth="1"/>
    <col min="15" max="16" width="10.421875" style="3" hidden="1" customWidth="1"/>
    <col min="17" max="17" width="0" style="3" hidden="1" customWidth="1"/>
    <col min="18" max="16384" width="9.140625" style="3" customWidth="1"/>
  </cols>
  <sheetData>
    <row r="1" spans="1:8" ht="15">
      <c r="A1" s="20"/>
      <c r="B1" s="64"/>
      <c r="C1" s="20"/>
      <c r="D1" s="21" t="s">
        <v>34</v>
      </c>
      <c r="H1" s="22" t="s">
        <v>87</v>
      </c>
    </row>
    <row r="2" spans="1:9" s="17" customFormat="1" ht="15">
      <c r="A2" s="18"/>
      <c r="B2" s="22"/>
      <c r="C2" s="18"/>
      <c r="D2" s="18"/>
      <c r="G2" s="22"/>
      <c r="H2" s="18"/>
      <c r="I2" s="18"/>
    </row>
    <row r="3" spans="1:8" ht="16.5">
      <c r="A3" s="106" t="s">
        <v>50</v>
      </c>
      <c r="B3" s="106"/>
      <c r="C3" s="106"/>
      <c r="D3" s="106"/>
      <c r="E3" s="106"/>
      <c r="F3" s="106"/>
      <c r="G3" s="106"/>
      <c r="H3" s="106"/>
    </row>
    <row r="4" spans="1:8" ht="16.5">
      <c r="A4" s="106" t="s">
        <v>51</v>
      </c>
      <c r="B4" s="106"/>
      <c r="C4" s="106"/>
      <c r="D4" s="106"/>
      <c r="E4" s="106"/>
      <c r="F4" s="106"/>
      <c r="G4" s="106"/>
      <c r="H4" s="106"/>
    </row>
    <row r="5" spans="1:8" ht="16.5">
      <c r="A5" s="106" t="s">
        <v>90</v>
      </c>
      <c r="B5" s="106"/>
      <c r="C5" s="106"/>
      <c r="D5" s="106"/>
      <c r="E5" s="106"/>
      <c r="F5" s="106"/>
      <c r="G5" s="106"/>
      <c r="H5" s="106"/>
    </row>
    <row r="6" spans="1:8" ht="16.5">
      <c r="A6" s="86"/>
      <c r="B6" s="86"/>
      <c r="C6" s="86"/>
      <c r="D6" s="86"/>
      <c r="E6" s="86"/>
      <c r="F6" s="86"/>
      <c r="G6" s="86"/>
      <c r="H6" s="86"/>
    </row>
    <row r="7" spans="1:8" ht="15.75" thickBot="1">
      <c r="A7" s="109"/>
      <c r="B7" s="109"/>
      <c r="C7" s="109"/>
      <c r="D7" s="109"/>
      <c r="E7" s="109"/>
      <c r="F7" s="109"/>
      <c r="H7" s="21" t="s">
        <v>0</v>
      </c>
    </row>
    <row r="8" spans="1:8" ht="15.75" thickBot="1">
      <c r="A8" s="112" t="s">
        <v>1</v>
      </c>
      <c r="B8" s="114" t="s">
        <v>52</v>
      </c>
      <c r="C8" s="107" t="s">
        <v>2</v>
      </c>
      <c r="D8" s="107" t="s">
        <v>3</v>
      </c>
      <c r="E8" s="107" t="s">
        <v>4</v>
      </c>
      <c r="F8" s="107" t="s">
        <v>5</v>
      </c>
      <c r="G8" s="117" t="s">
        <v>33</v>
      </c>
      <c r="H8" s="118"/>
    </row>
    <row r="9" spans="1:8" ht="15.75" thickBot="1">
      <c r="A9" s="113"/>
      <c r="B9" s="115"/>
      <c r="C9" s="108"/>
      <c r="D9" s="108"/>
      <c r="E9" s="108"/>
      <c r="F9" s="116"/>
      <c r="G9" s="88" t="s">
        <v>88</v>
      </c>
      <c r="H9" s="87" t="s">
        <v>89</v>
      </c>
    </row>
    <row r="10" spans="1:16" s="54" customFormat="1" ht="15">
      <c r="A10" s="50" t="s">
        <v>53</v>
      </c>
      <c r="B10" s="51">
        <v>802</v>
      </c>
      <c r="C10" s="52"/>
      <c r="D10" s="52"/>
      <c r="E10" s="53"/>
      <c r="F10" s="52"/>
      <c r="G10" s="76">
        <f>G11</f>
        <v>23</v>
      </c>
      <c r="H10" s="39">
        <f>H11</f>
        <v>22.4</v>
      </c>
      <c r="K10" s="54">
        <f>K15</f>
        <v>23.6</v>
      </c>
      <c r="L10" s="54">
        <f>L15</f>
        <v>23.6</v>
      </c>
      <c r="M10" s="3">
        <f>ROUND(K10*0.025,2)</f>
        <v>0.59</v>
      </c>
      <c r="N10" s="3">
        <f>ROUND(L10*0.05,2)</f>
        <v>1.18</v>
      </c>
      <c r="O10" s="54">
        <f>K10-M10</f>
        <v>23.01</v>
      </c>
      <c r="P10" s="54">
        <f>L10-N10</f>
        <v>22.42</v>
      </c>
    </row>
    <row r="11" spans="1:16" s="5" customFormat="1" ht="15">
      <c r="A11" s="35" t="s">
        <v>6</v>
      </c>
      <c r="B11" s="58">
        <v>802</v>
      </c>
      <c r="C11" s="36" t="s">
        <v>7</v>
      </c>
      <c r="D11" s="36"/>
      <c r="E11" s="37"/>
      <c r="F11" s="38"/>
      <c r="G11" s="76">
        <f>G12</f>
        <v>23</v>
      </c>
      <c r="H11" s="39">
        <f>H12</f>
        <v>22.4</v>
      </c>
      <c r="O11" s="54">
        <f aca="true" t="shared" si="0" ref="O11:O75">K11-M11</f>
        <v>0</v>
      </c>
      <c r="P11" s="54">
        <f aca="true" t="shared" si="1" ref="P11:P75">L11-N11</f>
        <v>0</v>
      </c>
    </row>
    <row r="12" spans="1:16" s="8" customFormat="1" ht="81">
      <c r="A12" s="25" t="s">
        <v>40</v>
      </c>
      <c r="B12" s="59">
        <v>802</v>
      </c>
      <c r="C12" s="6" t="s">
        <v>7</v>
      </c>
      <c r="D12" s="6" t="s">
        <v>8</v>
      </c>
      <c r="E12" s="40"/>
      <c r="F12" s="7"/>
      <c r="G12" s="77">
        <f>G14</f>
        <v>23</v>
      </c>
      <c r="H12" s="26">
        <f>H14</f>
        <v>22.4</v>
      </c>
      <c r="O12" s="54">
        <f t="shared" si="0"/>
        <v>0</v>
      </c>
      <c r="P12" s="54">
        <f t="shared" si="1"/>
        <v>0</v>
      </c>
    </row>
    <row r="13" spans="1:16" s="12" customFormat="1" ht="15">
      <c r="A13" s="68" t="s">
        <v>56</v>
      </c>
      <c r="B13" s="60">
        <v>802</v>
      </c>
      <c r="C13" s="9" t="s">
        <v>7</v>
      </c>
      <c r="D13" s="9" t="s">
        <v>8</v>
      </c>
      <c r="E13" s="69" t="s">
        <v>57</v>
      </c>
      <c r="F13" s="11"/>
      <c r="G13" s="78">
        <f>G14</f>
        <v>23</v>
      </c>
      <c r="H13" s="28">
        <f>H14</f>
        <v>22.4</v>
      </c>
      <c r="O13" s="54">
        <f t="shared" si="0"/>
        <v>0</v>
      </c>
      <c r="P13" s="54">
        <f t="shared" si="1"/>
        <v>0</v>
      </c>
    </row>
    <row r="14" spans="1:16" ht="15">
      <c r="A14" s="29" t="s">
        <v>9</v>
      </c>
      <c r="B14" s="61">
        <v>802</v>
      </c>
      <c r="C14" s="9" t="s">
        <v>7</v>
      </c>
      <c r="D14" s="9" t="s">
        <v>8</v>
      </c>
      <c r="E14" s="41" t="s">
        <v>58</v>
      </c>
      <c r="F14" s="13"/>
      <c r="G14" s="78">
        <f>G15</f>
        <v>23</v>
      </c>
      <c r="H14" s="28">
        <f>H15</f>
        <v>22.4</v>
      </c>
      <c r="O14" s="54">
        <f t="shared" si="0"/>
        <v>0</v>
      </c>
      <c r="P14" s="54">
        <f t="shared" si="1"/>
        <v>0</v>
      </c>
    </row>
    <row r="15" spans="1:16" ht="30.75">
      <c r="A15" s="65" t="s">
        <v>42</v>
      </c>
      <c r="B15" s="66">
        <v>802</v>
      </c>
      <c r="C15" s="9" t="s">
        <v>7</v>
      </c>
      <c r="D15" s="9" t="s">
        <v>8</v>
      </c>
      <c r="E15" s="41" t="s">
        <v>58</v>
      </c>
      <c r="F15" s="13">
        <v>200</v>
      </c>
      <c r="G15" s="78">
        <f>ROUND(23.6*97.5%,1)</f>
        <v>23</v>
      </c>
      <c r="H15" s="28">
        <f>ROUND(23.6*95%,1)</f>
        <v>22.4</v>
      </c>
      <c r="K15" s="3">
        <v>23.6</v>
      </c>
      <c r="L15" s="3">
        <v>23.6</v>
      </c>
      <c r="M15" s="3">
        <f>ROUND(K15*0.025,2)</f>
        <v>0.59</v>
      </c>
      <c r="N15" s="3">
        <f>ROUND(L15*0.05,2)</f>
        <v>1.18</v>
      </c>
      <c r="O15" s="54">
        <f t="shared" si="0"/>
        <v>23.01</v>
      </c>
      <c r="P15" s="54">
        <f t="shared" si="1"/>
        <v>22.42</v>
      </c>
    </row>
    <row r="16" spans="1:16" s="57" customFormat="1" ht="46.5">
      <c r="A16" s="32" t="s">
        <v>54</v>
      </c>
      <c r="B16" s="55">
        <v>804</v>
      </c>
      <c r="C16" s="23"/>
      <c r="D16" s="23"/>
      <c r="E16" s="43"/>
      <c r="F16" s="56"/>
      <c r="G16" s="76">
        <f>G17+G32+G41+G63+G72</f>
        <v>263595</v>
      </c>
      <c r="H16" s="39">
        <f>H17+H32+H41+H63+H72</f>
        <v>259746.7</v>
      </c>
      <c r="K16" s="57">
        <f>K17+K32+K41+K63+K72</f>
        <v>270353.80000000005</v>
      </c>
      <c r="L16" s="57">
        <f>L17+L32+L41+L63+L72</f>
        <v>273417.6</v>
      </c>
      <c r="M16" s="3">
        <f>ROUND(K16*0.025,2)</f>
        <v>6758.85</v>
      </c>
      <c r="N16" s="3">
        <f>ROUND(L16*0.05,2)</f>
        <v>13670.88</v>
      </c>
      <c r="O16" s="105">
        <f t="shared" si="0"/>
        <v>263594.95000000007</v>
      </c>
      <c r="P16" s="105">
        <f t="shared" si="1"/>
        <v>259746.71999999997</v>
      </c>
    </row>
    <row r="17" spans="1:16" s="5" customFormat="1" ht="15">
      <c r="A17" s="35" t="s">
        <v>6</v>
      </c>
      <c r="B17" s="58">
        <v>804</v>
      </c>
      <c r="C17" s="36" t="s">
        <v>7</v>
      </c>
      <c r="D17" s="36"/>
      <c r="E17" s="37"/>
      <c r="F17" s="38"/>
      <c r="G17" s="76">
        <f>G18+G24+G28</f>
        <v>5999.599999999999</v>
      </c>
      <c r="H17" s="39">
        <f>H18+H24+H28</f>
        <v>5948</v>
      </c>
      <c r="K17" s="5">
        <f>K21+K22+K23+K27+K31</f>
        <v>6153.4</v>
      </c>
      <c r="L17" s="5">
        <f>L21+L22+L23+L27+L31</f>
        <v>6261.099999999999</v>
      </c>
      <c r="M17" s="3">
        <f>ROUND(K17*0.025,2)</f>
        <v>153.84</v>
      </c>
      <c r="N17" s="3">
        <f>ROUND(L17*0.05,2)</f>
        <v>313.06</v>
      </c>
      <c r="O17" s="54">
        <f t="shared" si="0"/>
        <v>5999.5599999999995</v>
      </c>
      <c r="P17" s="54">
        <f t="shared" si="1"/>
        <v>5948.039999999999</v>
      </c>
    </row>
    <row r="18" spans="1:16" s="8" customFormat="1" ht="81">
      <c r="A18" s="25" t="s">
        <v>10</v>
      </c>
      <c r="B18" s="59">
        <v>804</v>
      </c>
      <c r="C18" s="6" t="s">
        <v>7</v>
      </c>
      <c r="D18" s="6" t="s">
        <v>11</v>
      </c>
      <c r="E18" s="40"/>
      <c r="F18" s="7"/>
      <c r="G18" s="77">
        <f>G19</f>
        <v>3343.7999999999997</v>
      </c>
      <c r="H18" s="26">
        <f>H19</f>
        <v>3360.3</v>
      </c>
      <c r="O18" s="54">
        <f t="shared" si="0"/>
        <v>0</v>
      </c>
      <c r="P18" s="54">
        <f t="shared" si="1"/>
        <v>0</v>
      </c>
    </row>
    <row r="19" spans="1:16" s="12" customFormat="1" ht="15">
      <c r="A19" s="68" t="s">
        <v>56</v>
      </c>
      <c r="B19" s="60">
        <v>804</v>
      </c>
      <c r="C19" s="70" t="s">
        <v>7</v>
      </c>
      <c r="D19" s="70" t="s">
        <v>11</v>
      </c>
      <c r="E19" s="69" t="s">
        <v>57</v>
      </c>
      <c r="F19" s="11"/>
      <c r="G19" s="79">
        <f>G20</f>
        <v>3343.7999999999997</v>
      </c>
      <c r="H19" s="71">
        <f>H20</f>
        <v>3360.3</v>
      </c>
      <c r="O19" s="54">
        <f t="shared" si="0"/>
        <v>0</v>
      </c>
      <c r="P19" s="54">
        <f t="shared" si="1"/>
        <v>0</v>
      </c>
    </row>
    <row r="20" spans="1:16" ht="15">
      <c r="A20" s="29" t="s">
        <v>9</v>
      </c>
      <c r="B20" s="61">
        <v>804</v>
      </c>
      <c r="C20" s="9" t="s">
        <v>7</v>
      </c>
      <c r="D20" s="9" t="s">
        <v>11</v>
      </c>
      <c r="E20" s="41" t="s">
        <v>58</v>
      </c>
      <c r="F20" s="13"/>
      <c r="G20" s="78">
        <f>G21+G22+G23</f>
        <v>3343.7999999999997</v>
      </c>
      <c r="H20" s="28">
        <f>H21+H22+H23</f>
        <v>3360.3</v>
      </c>
      <c r="O20" s="54">
        <f t="shared" si="0"/>
        <v>0</v>
      </c>
      <c r="P20" s="54">
        <f t="shared" si="1"/>
        <v>0</v>
      </c>
    </row>
    <row r="21" spans="1:16" ht="93">
      <c r="A21" s="29" t="s">
        <v>41</v>
      </c>
      <c r="B21" s="61">
        <v>804</v>
      </c>
      <c r="C21" s="9" t="s">
        <v>7</v>
      </c>
      <c r="D21" s="9" t="s">
        <v>11</v>
      </c>
      <c r="E21" s="41" t="s">
        <v>58</v>
      </c>
      <c r="F21" s="13">
        <v>100</v>
      </c>
      <c r="G21" s="78">
        <f>ROUND(2277*97.5%,1)</f>
        <v>2220.1</v>
      </c>
      <c r="H21" s="28">
        <f>ROUND(2377*95%,1)-0.1</f>
        <v>2258.1</v>
      </c>
      <c r="K21" s="3">
        <v>2277</v>
      </c>
      <c r="L21" s="3">
        <v>2377</v>
      </c>
      <c r="M21" s="3">
        <f>ROUND(K21*0.025,2)</f>
        <v>56.93</v>
      </c>
      <c r="N21" s="3">
        <f>ROUND(L21*0.05,2)</f>
        <v>118.85</v>
      </c>
      <c r="O21" s="54">
        <f t="shared" si="0"/>
        <v>2220.07</v>
      </c>
      <c r="P21" s="54">
        <f t="shared" si="1"/>
        <v>2258.15</v>
      </c>
    </row>
    <row r="22" spans="1:16" ht="30.75">
      <c r="A22" s="67" t="s">
        <v>42</v>
      </c>
      <c r="B22" s="62">
        <v>804</v>
      </c>
      <c r="C22" s="9" t="s">
        <v>7</v>
      </c>
      <c r="D22" s="9" t="s">
        <v>11</v>
      </c>
      <c r="E22" s="41" t="s">
        <v>58</v>
      </c>
      <c r="F22" s="13">
        <v>200</v>
      </c>
      <c r="G22" s="78">
        <f>ROUND(1139*97.5%,1)</f>
        <v>1110.5</v>
      </c>
      <c r="H22" s="28">
        <f>ROUND(1146.7*95%,1)</f>
        <v>1089.4</v>
      </c>
      <c r="K22" s="3">
        <v>1139</v>
      </c>
      <c r="L22" s="3">
        <v>1146.7</v>
      </c>
      <c r="M22" s="3">
        <f>ROUND(K22*0.025,2)</f>
        <v>28.48</v>
      </c>
      <c r="N22" s="3">
        <f>ROUND(L22*0.05,2)</f>
        <v>57.34</v>
      </c>
      <c r="O22" s="54">
        <f t="shared" si="0"/>
        <v>1110.52</v>
      </c>
      <c r="P22" s="54">
        <f t="shared" si="1"/>
        <v>1089.3600000000001</v>
      </c>
    </row>
    <row r="23" spans="1:16" ht="15">
      <c r="A23" s="29" t="s">
        <v>44</v>
      </c>
      <c r="B23" s="62">
        <v>804</v>
      </c>
      <c r="C23" s="9" t="s">
        <v>7</v>
      </c>
      <c r="D23" s="9" t="s">
        <v>11</v>
      </c>
      <c r="E23" s="41" t="s">
        <v>58</v>
      </c>
      <c r="F23" s="13">
        <v>800</v>
      </c>
      <c r="G23" s="78">
        <f>ROUND(13.5*97.5%,1)</f>
        <v>13.2</v>
      </c>
      <c r="H23" s="28">
        <f>ROUND(13.5*95%,1)</f>
        <v>12.8</v>
      </c>
      <c r="K23" s="3">
        <v>13.5</v>
      </c>
      <c r="L23" s="3">
        <v>13.5</v>
      </c>
      <c r="M23" s="3">
        <f>ROUND(K23*0.025,2)</f>
        <v>0.34</v>
      </c>
      <c r="N23" s="3">
        <f>ROUND(L23*0.05,2)</f>
        <v>0.68</v>
      </c>
      <c r="O23" s="54">
        <f t="shared" si="0"/>
        <v>13.16</v>
      </c>
      <c r="P23" s="54">
        <f t="shared" si="1"/>
        <v>12.82</v>
      </c>
    </row>
    <row r="24" spans="1:16" s="8" customFormat="1" ht="15.75">
      <c r="A24" s="25" t="s">
        <v>37</v>
      </c>
      <c r="B24" s="59">
        <v>804</v>
      </c>
      <c r="C24" s="6" t="s">
        <v>7</v>
      </c>
      <c r="D24" s="6" t="s">
        <v>28</v>
      </c>
      <c r="E24" s="40"/>
      <c r="F24" s="7"/>
      <c r="G24" s="77">
        <f aca="true" t="shared" si="2" ref="G24:H26">G25</f>
        <v>1950</v>
      </c>
      <c r="H24" s="26">
        <f t="shared" si="2"/>
        <v>1900</v>
      </c>
      <c r="O24" s="54">
        <f t="shared" si="0"/>
        <v>0</v>
      </c>
      <c r="P24" s="54">
        <f t="shared" si="1"/>
        <v>0</v>
      </c>
    </row>
    <row r="25" spans="1:16" s="12" customFormat="1" ht="15.75">
      <c r="A25" s="68" t="s">
        <v>56</v>
      </c>
      <c r="B25" s="60">
        <v>804</v>
      </c>
      <c r="C25" s="9" t="s">
        <v>7</v>
      </c>
      <c r="D25" s="9" t="s">
        <v>28</v>
      </c>
      <c r="E25" s="69" t="s">
        <v>57</v>
      </c>
      <c r="F25" s="7"/>
      <c r="G25" s="79">
        <f t="shared" si="2"/>
        <v>1950</v>
      </c>
      <c r="H25" s="71">
        <f t="shared" si="2"/>
        <v>1900</v>
      </c>
      <c r="O25" s="54">
        <f t="shared" si="0"/>
        <v>0</v>
      </c>
      <c r="P25" s="54">
        <f t="shared" si="1"/>
        <v>0</v>
      </c>
    </row>
    <row r="26" spans="1:16" ht="15">
      <c r="A26" s="27" t="s">
        <v>37</v>
      </c>
      <c r="B26" s="61">
        <v>804</v>
      </c>
      <c r="C26" s="9" t="s">
        <v>7</v>
      </c>
      <c r="D26" s="9" t="s">
        <v>28</v>
      </c>
      <c r="E26" s="41" t="s">
        <v>59</v>
      </c>
      <c r="F26" s="11"/>
      <c r="G26" s="78">
        <f t="shared" si="2"/>
        <v>1950</v>
      </c>
      <c r="H26" s="28">
        <f t="shared" si="2"/>
        <v>1900</v>
      </c>
      <c r="O26" s="54">
        <f t="shared" si="0"/>
        <v>0</v>
      </c>
      <c r="P26" s="54">
        <f t="shared" si="1"/>
        <v>0</v>
      </c>
    </row>
    <row r="27" spans="1:16" ht="15">
      <c r="A27" s="29" t="s">
        <v>44</v>
      </c>
      <c r="B27" s="61">
        <v>804</v>
      </c>
      <c r="C27" s="9" t="s">
        <v>7</v>
      </c>
      <c r="D27" s="9" t="s">
        <v>28</v>
      </c>
      <c r="E27" s="41" t="s">
        <v>59</v>
      </c>
      <c r="F27" s="9" t="s">
        <v>43</v>
      </c>
      <c r="G27" s="74">
        <f>ROUND(2000*97.5%,1)</f>
        <v>1950</v>
      </c>
      <c r="H27" s="75">
        <f>ROUND(2000*95%,1)</f>
        <v>1900</v>
      </c>
      <c r="K27" s="3">
        <v>2000</v>
      </c>
      <c r="L27" s="3">
        <v>2000</v>
      </c>
      <c r="M27" s="3">
        <f>ROUND(K27*0.025,2)</f>
        <v>50</v>
      </c>
      <c r="N27" s="3">
        <f>ROUND(L27*0.05,2)</f>
        <v>100</v>
      </c>
      <c r="O27" s="105">
        <f t="shared" si="0"/>
        <v>1950</v>
      </c>
      <c r="P27" s="105">
        <f t="shared" si="1"/>
        <v>1900</v>
      </c>
    </row>
    <row r="28" spans="1:16" ht="15.75">
      <c r="A28" s="25" t="s">
        <v>12</v>
      </c>
      <c r="B28" s="59">
        <v>804</v>
      </c>
      <c r="C28" s="6" t="s">
        <v>7</v>
      </c>
      <c r="D28" s="6" t="s">
        <v>13</v>
      </c>
      <c r="E28" s="40"/>
      <c r="F28" s="7"/>
      <c r="G28" s="80">
        <f aca="true" t="shared" si="3" ref="G28:H30">G29</f>
        <v>705.8</v>
      </c>
      <c r="H28" s="30">
        <f t="shared" si="3"/>
        <v>687.7</v>
      </c>
      <c r="O28" s="54">
        <f t="shared" si="0"/>
        <v>0</v>
      </c>
      <c r="P28" s="54">
        <f t="shared" si="1"/>
        <v>0</v>
      </c>
    </row>
    <row r="29" spans="1:16" ht="15">
      <c r="A29" s="68" t="s">
        <v>56</v>
      </c>
      <c r="B29" s="60">
        <v>804</v>
      </c>
      <c r="C29" s="70" t="s">
        <v>7</v>
      </c>
      <c r="D29" s="70">
        <v>13</v>
      </c>
      <c r="E29" s="69" t="s">
        <v>57</v>
      </c>
      <c r="F29" s="72"/>
      <c r="G29" s="79">
        <f t="shared" si="3"/>
        <v>705.8</v>
      </c>
      <c r="H29" s="71">
        <f t="shared" si="3"/>
        <v>687.7</v>
      </c>
      <c r="O29" s="54">
        <f t="shared" si="0"/>
        <v>0</v>
      </c>
      <c r="P29" s="54">
        <f t="shared" si="1"/>
        <v>0</v>
      </c>
    </row>
    <row r="30" spans="1:16" ht="30.75">
      <c r="A30" s="29" t="s">
        <v>31</v>
      </c>
      <c r="B30" s="61">
        <v>804</v>
      </c>
      <c r="C30" s="9" t="s">
        <v>7</v>
      </c>
      <c r="D30" s="9">
        <v>13</v>
      </c>
      <c r="E30" s="41" t="s">
        <v>77</v>
      </c>
      <c r="F30" s="1"/>
      <c r="G30" s="78">
        <f t="shared" si="3"/>
        <v>705.8</v>
      </c>
      <c r="H30" s="28">
        <f t="shared" si="3"/>
        <v>687.7</v>
      </c>
      <c r="O30" s="54">
        <f t="shared" si="0"/>
        <v>0</v>
      </c>
      <c r="P30" s="54">
        <f t="shared" si="1"/>
        <v>0</v>
      </c>
    </row>
    <row r="31" spans="1:16" ht="15">
      <c r="A31" s="29" t="s">
        <v>44</v>
      </c>
      <c r="B31" s="61">
        <v>804</v>
      </c>
      <c r="C31" s="9" t="s">
        <v>7</v>
      </c>
      <c r="D31" s="9">
        <v>13</v>
      </c>
      <c r="E31" s="41" t="s">
        <v>77</v>
      </c>
      <c r="F31" s="10">
        <v>800</v>
      </c>
      <c r="G31" s="74">
        <f>ROUND(723.9*97.5%,1)</f>
        <v>705.8</v>
      </c>
      <c r="H31" s="75">
        <f>ROUND(723.9*95%,1)</f>
        <v>687.7</v>
      </c>
      <c r="K31" s="3">
        <v>723.9</v>
      </c>
      <c r="L31" s="3">
        <v>723.9</v>
      </c>
      <c r="M31" s="3">
        <f>ROUND(K31*0.025,2)</f>
        <v>18.1</v>
      </c>
      <c r="N31" s="3">
        <f>ROUND(L31*0.05,2)</f>
        <v>36.2</v>
      </c>
      <c r="O31" s="105">
        <f t="shared" si="0"/>
        <v>705.8</v>
      </c>
      <c r="P31" s="105">
        <f t="shared" si="1"/>
        <v>687.6999999999999</v>
      </c>
    </row>
    <row r="32" spans="1:16" ht="15">
      <c r="A32" s="34" t="s">
        <v>60</v>
      </c>
      <c r="B32" s="23">
        <v>804</v>
      </c>
      <c r="C32" s="23" t="s">
        <v>11</v>
      </c>
      <c r="D32" s="23"/>
      <c r="E32" s="43"/>
      <c r="F32" s="24"/>
      <c r="G32" s="81">
        <f>G33+G37</f>
        <v>27787.5</v>
      </c>
      <c r="H32" s="33">
        <f>H33+H37</f>
        <v>27075</v>
      </c>
      <c r="K32" s="3">
        <f>K36+K40</f>
        <v>28500</v>
      </c>
      <c r="L32" s="3">
        <f>L36+L40</f>
        <v>28500</v>
      </c>
      <c r="M32" s="3">
        <f>ROUND(K32*0.025,2)</f>
        <v>712.5</v>
      </c>
      <c r="N32" s="3">
        <f>ROUND(L32*0.05,2)</f>
        <v>1425</v>
      </c>
      <c r="O32" s="105">
        <f t="shared" si="0"/>
        <v>27787.5</v>
      </c>
      <c r="P32" s="105">
        <f t="shared" si="1"/>
        <v>27075</v>
      </c>
    </row>
    <row r="33" spans="1:16" ht="15.75">
      <c r="A33" s="31" t="s">
        <v>61</v>
      </c>
      <c r="B33" s="6">
        <v>804</v>
      </c>
      <c r="C33" s="6" t="s">
        <v>11</v>
      </c>
      <c r="D33" s="6" t="s">
        <v>62</v>
      </c>
      <c r="E33" s="41"/>
      <c r="F33" s="13"/>
      <c r="G33" s="77">
        <f aca="true" t="shared" si="4" ref="G33:H39">G34</f>
        <v>26325</v>
      </c>
      <c r="H33" s="26">
        <f t="shared" si="4"/>
        <v>25650</v>
      </c>
      <c r="O33" s="54">
        <f t="shared" si="0"/>
        <v>0</v>
      </c>
      <c r="P33" s="54">
        <f t="shared" si="1"/>
        <v>0</v>
      </c>
    </row>
    <row r="34" spans="1:16" ht="15.75">
      <c r="A34" s="68" t="s">
        <v>56</v>
      </c>
      <c r="B34" s="70">
        <v>804</v>
      </c>
      <c r="C34" s="70" t="s">
        <v>11</v>
      </c>
      <c r="D34" s="70" t="s">
        <v>62</v>
      </c>
      <c r="E34" s="69" t="s">
        <v>57</v>
      </c>
      <c r="F34" s="11"/>
      <c r="G34" s="77">
        <f t="shared" si="4"/>
        <v>26325</v>
      </c>
      <c r="H34" s="26">
        <f t="shared" si="4"/>
        <v>25650</v>
      </c>
      <c r="O34" s="54">
        <f t="shared" si="0"/>
        <v>0</v>
      </c>
      <c r="P34" s="54">
        <f t="shared" si="1"/>
        <v>0</v>
      </c>
    </row>
    <row r="35" spans="1:16" ht="78">
      <c r="A35" s="29" t="s">
        <v>76</v>
      </c>
      <c r="B35" s="9">
        <v>804</v>
      </c>
      <c r="C35" s="9" t="s">
        <v>11</v>
      </c>
      <c r="D35" s="9" t="s">
        <v>62</v>
      </c>
      <c r="E35" s="41" t="s">
        <v>78</v>
      </c>
      <c r="F35" s="13"/>
      <c r="G35" s="78">
        <f t="shared" si="4"/>
        <v>26325</v>
      </c>
      <c r="H35" s="28">
        <f t="shared" si="4"/>
        <v>25650</v>
      </c>
      <c r="O35" s="54">
        <f t="shared" si="0"/>
        <v>0</v>
      </c>
      <c r="P35" s="54">
        <f t="shared" si="1"/>
        <v>0</v>
      </c>
    </row>
    <row r="36" spans="1:16" ht="30.75">
      <c r="A36" s="29" t="s">
        <v>46</v>
      </c>
      <c r="B36" s="9">
        <v>804</v>
      </c>
      <c r="C36" s="9" t="s">
        <v>11</v>
      </c>
      <c r="D36" s="9" t="s">
        <v>62</v>
      </c>
      <c r="E36" s="41" t="s">
        <v>78</v>
      </c>
      <c r="F36" s="9" t="s">
        <v>45</v>
      </c>
      <c r="G36" s="74">
        <f>ROUND(27000*97.5%,1)</f>
        <v>26325</v>
      </c>
      <c r="H36" s="75">
        <f>ROUND(27000*95%,1)</f>
        <v>25650</v>
      </c>
      <c r="K36" s="3">
        <v>27000</v>
      </c>
      <c r="L36" s="3">
        <v>27000</v>
      </c>
      <c r="M36" s="3">
        <f>ROUND(K36*0.025,2)</f>
        <v>675</v>
      </c>
      <c r="N36" s="3">
        <f>ROUND(L36*0.05,2)</f>
        <v>1350</v>
      </c>
      <c r="O36" s="105">
        <f t="shared" si="0"/>
        <v>26325</v>
      </c>
      <c r="P36" s="105">
        <f t="shared" si="1"/>
        <v>25650</v>
      </c>
    </row>
    <row r="37" spans="1:16" ht="32.25">
      <c r="A37" s="31" t="s">
        <v>93</v>
      </c>
      <c r="B37" s="6">
        <v>804</v>
      </c>
      <c r="C37" s="6" t="s">
        <v>11</v>
      </c>
      <c r="D37" s="6" t="s">
        <v>91</v>
      </c>
      <c r="E37" s="41"/>
      <c r="F37" s="9"/>
      <c r="G37" s="77">
        <f t="shared" si="4"/>
        <v>1462.5</v>
      </c>
      <c r="H37" s="26">
        <f t="shared" si="4"/>
        <v>1425</v>
      </c>
      <c r="O37" s="105">
        <f t="shared" si="0"/>
        <v>0</v>
      </c>
      <c r="P37" s="105">
        <f t="shared" si="1"/>
        <v>0</v>
      </c>
    </row>
    <row r="38" spans="1:16" ht="47.25">
      <c r="A38" s="68" t="s">
        <v>79</v>
      </c>
      <c r="B38" s="70">
        <v>804</v>
      </c>
      <c r="C38" s="70" t="s">
        <v>11</v>
      </c>
      <c r="D38" s="70" t="s">
        <v>91</v>
      </c>
      <c r="E38" s="69" t="s">
        <v>63</v>
      </c>
      <c r="F38" s="11"/>
      <c r="G38" s="77">
        <f t="shared" si="4"/>
        <v>1462.5</v>
      </c>
      <c r="H38" s="26">
        <f t="shared" si="4"/>
        <v>1425</v>
      </c>
      <c r="O38" s="105">
        <f t="shared" si="0"/>
        <v>0</v>
      </c>
      <c r="P38" s="105">
        <f t="shared" si="1"/>
        <v>0</v>
      </c>
    </row>
    <row r="39" spans="1:16" ht="30.75">
      <c r="A39" s="29" t="s">
        <v>92</v>
      </c>
      <c r="B39" s="9">
        <v>804</v>
      </c>
      <c r="C39" s="9" t="s">
        <v>11</v>
      </c>
      <c r="D39" s="9" t="s">
        <v>91</v>
      </c>
      <c r="E39" s="41" t="s">
        <v>98</v>
      </c>
      <c r="F39" s="10"/>
      <c r="G39" s="78">
        <f t="shared" si="4"/>
        <v>1462.5</v>
      </c>
      <c r="H39" s="28">
        <f t="shared" si="4"/>
        <v>1425</v>
      </c>
      <c r="O39" s="105">
        <f t="shared" si="0"/>
        <v>0</v>
      </c>
      <c r="P39" s="105">
        <f t="shared" si="1"/>
        <v>0</v>
      </c>
    </row>
    <row r="40" spans="1:16" ht="30.75">
      <c r="A40" s="29" t="s">
        <v>46</v>
      </c>
      <c r="B40" s="9">
        <v>804</v>
      </c>
      <c r="C40" s="9" t="s">
        <v>11</v>
      </c>
      <c r="D40" s="9" t="s">
        <v>91</v>
      </c>
      <c r="E40" s="41" t="s">
        <v>98</v>
      </c>
      <c r="F40" s="10">
        <v>200</v>
      </c>
      <c r="G40" s="74">
        <f>ROUND(1500*97.5%,1)</f>
        <v>1462.5</v>
      </c>
      <c r="H40" s="75">
        <f>ROUND(1500*95%,1)</f>
        <v>1425</v>
      </c>
      <c r="K40" s="3">
        <v>1500</v>
      </c>
      <c r="L40" s="3">
        <v>1500</v>
      </c>
      <c r="M40" s="3">
        <f>ROUND(K40*0.025,2)</f>
        <v>37.5</v>
      </c>
      <c r="N40" s="3">
        <f>ROUND(L40*0.05,2)</f>
        <v>75</v>
      </c>
      <c r="O40" s="105">
        <f t="shared" si="0"/>
        <v>1462.5</v>
      </c>
      <c r="P40" s="105">
        <f t="shared" si="1"/>
        <v>1425</v>
      </c>
    </row>
    <row r="41" spans="1:16" s="5" customFormat="1" ht="30.75">
      <c r="A41" s="34" t="s">
        <v>14</v>
      </c>
      <c r="B41" s="23">
        <v>804</v>
      </c>
      <c r="C41" s="23" t="s">
        <v>15</v>
      </c>
      <c r="D41" s="23"/>
      <c r="E41" s="43"/>
      <c r="F41" s="24"/>
      <c r="G41" s="81">
        <f>G42+G46+G50</f>
        <v>67746.7</v>
      </c>
      <c r="H41" s="33">
        <f>H42+H46+H50</f>
        <v>66919</v>
      </c>
      <c r="K41" s="5">
        <f>K42+K50</f>
        <v>69483.8</v>
      </c>
      <c r="L41" s="5">
        <f>L42+L50</f>
        <v>70441</v>
      </c>
      <c r="M41" s="3">
        <f>ROUND(K41*0.025,2)</f>
        <v>1737.1</v>
      </c>
      <c r="N41" s="3">
        <f>ROUND(L41*0.05,2)</f>
        <v>3522.05</v>
      </c>
      <c r="O41" s="105">
        <f t="shared" si="0"/>
        <v>67746.7</v>
      </c>
      <c r="P41" s="105">
        <f t="shared" si="1"/>
        <v>66918.95</v>
      </c>
    </row>
    <row r="42" spans="1:16" s="5" customFormat="1" ht="15.75">
      <c r="A42" s="31" t="s">
        <v>16</v>
      </c>
      <c r="B42" s="6">
        <v>804</v>
      </c>
      <c r="C42" s="6" t="s">
        <v>15</v>
      </c>
      <c r="D42" s="6" t="s">
        <v>7</v>
      </c>
      <c r="E42" s="42"/>
      <c r="F42" s="10"/>
      <c r="G42" s="77">
        <f aca="true" t="shared" si="5" ref="G42:H44">G43</f>
        <v>31317</v>
      </c>
      <c r="H42" s="26">
        <f t="shared" si="5"/>
        <v>30514</v>
      </c>
      <c r="K42" s="5">
        <f>K45+K49</f>
        <v>32450</v>
      </c>
      <c r="L42" s="5">
        <f>L45+L49</f>
        <v>32450</v>
      </c>
      <c r="M42" s="3">
        <f>ROUND(K42*0.025,2)</f>
        <v>811.25</v>
      </c>
      <c r="N42" s="3">
        <f>ROUND(L42*0.05,2)</f>
        <v>1622.5</v>
      </c>
      <c r="O42" s="105">
        <f t="shared" si="0"/>
        <v>31638.75</v>
      </c>
      <c r="P42" s="105">
        <f t="shared" si="1"/>
        <v>30827.5</v>
      </c>
    </row>
    <row r="43" spans="1:16" s="5" customFormat="1" ht="15">
      <c r="A43" s="68" t="s">
        <v>56</v>
      </c>
      <c r="B43" s="70">
        <v>804</v>
      </c>
      <c r="C43" s="70" t="s">
        <v>15</v>
      </c>
      <c r="D43" s="70" t="s">
        <v>7</v>
      </c>
      <c r="E43" s="69" t="s">
        <v>57</v>
      </c>
      <c r="F43" s="73"/>
      <c r="G43" s="79">
        <f t="shared" si="5"/>
        <v>31317</v>
      </c>
      <c r="H43" s="71">
        <f t="shared" si="5"/>
        <v>30514</v>
      </c>
      <c r="O43" s="54">
        <f t="shared" si="0"/>
        <v>0</v>
      </c>
      <c r="P43" s="54">
        <f t="shared" si="1"/>
        <v>0</v>
      </c>
    </row>
    <row r="44" spans="1:16" s="5" customFormat="1" ht="78">
      <c r="A44" s="29" t="s">
        <v>75</v>
      </c>
      <c r="B44" s="9">
        <v>804</v>
      </c>
      <c r="C44" s="9" t="s">
        <v>15</v>
      </c>
      <c r="D44" s="9" t="s">
        <v>7</v>
      </c>
      <c r="E44" s="41" t="s">
        <v>66</v>
      </c>
      <c r="F44" s="9"/>
      <c r="G44" s="78">
        <f t="shared" si="5"/>
        <v>31317</v>
      </c>
      <c r="H44" s="28">
        <f t="shared" si="5"/>
        <v>30514</v>
      </c>
      <c r="O44" s="54">
        <f t="shared" si="0"/>
        <v>0</v>
      </c>
      <c r="P44" s="54">
        <f t="shared" si="1"/>
        <v>0</v>
      </c>
    </row>
    <row r="45" spans="1:16" s="5" customFormat="1" ht="15">
      <c r="A45" s="29" t="s">
        <v>47</v>
      </c>
      <c r="B45" s="9">
        <v>804</v>
      </c>
      <c r="C45" s="9" t="s">
        <v>15</v>
      </c>
      <c r="D45" s="9" t="s">
        <v>7</v>
      </c>
      <c r="E45" s="41" t="s">
        <v>66</v>
      </c>
      <c r="F45" s="9" t="s">
        <v>32</v>
      </c>
      <c r="G45" s="74">
        <f>ROUND(32120*97.5%,1)</f>
        <v>31317</v>
      </c>
      <c r="H45" s="75">
        <f>ROUND(32120*95%,1)</f>
        <v>30514</v>
      </c>
      <c r="K45" s="5">
        <v>32120</v>
      </c>
      <c r="L45" s="5">
        <v>32120</v>
      </c>
      <c r="M45" s="3">
        <f>ROUND(K45*0.025,2)</f>
        <v>803</v>
      </c>
      <c r="N45" s="3">
        <f>ROUND(L45*0.05,2)</f>
        <v>1606</v>
      </c>
      <c r="O45" s="105">
        <f t="shared" si="0"/>
        <v>31317</v>
      </c>
      <c r="P45" s="105">
        <f t="shared" si="1"/>
        <v>30514</v>
      </c>
    </row>
    <row r="46" spans="1:16" s="5" customFormat="1" ht="15.75">
      <c r="A46" s="31" t="s">
        <v>17</v>
      </c>
      <c r="B46" s="6">
        <v>804</v>
      </c>
      <c r="C46" s="6" t="s">
        <v>15</v>
      </c>
      <c r="D46" s="6" t="s">
        <v>18</v>
      </c>
      <c r="E46" s="42"/>
      <c r="F46" s="4"/>
      <c r="G46" s="77">
        <f>G48</f>
        <v>321.7</v>
      </c>
      <c r="H46" s="26">
        <f>H48</f>
        <v>313.5</v>
      </c>
      <c r="O46" s="105">
        <f t="shared" si="0"/>
        <v>0</v>
      </c>
      <c r="P46" s="105">
        <f t="shared" si="1"/>
        <v>0</v>
      </c>
    </row>
    <row r="47" spans="1:16" s="5" customFormat="1" ht="15.75">
      <c r="A47" s="68" t="s">
        <v>56</v>
      </c>
      <c r="B47" s="70">
        <v>804</v>
      </c>
      <c r="C47" s="70" t="s">
        <v>15</v>
      </c>
      <c r="D47" s="70" t="s">
        <v>18</v>
      </c>
      <c r="E47" s="69" t="s">
        <v>57</v>
      </c>
      <c r="F47" s="7"/>
      <c r="G47" s="79">
        <f>G48</f>
        <v>321.7</v>
      </c>
      <c r="H47" s="71">
        <f>H48</f>
        <v>313.5</v>
      </c>
      <c r="O47" s="105">
        <f t="shared" si="0"/>
        <v>0</v>
      </c>
      <c r="P47" s="105">
        <f t="shared" si="1"/>
        <v>0</v>
      </c>
    </row>
    <row r="48" spans="1:16" s="5" customFormat="1" ht="30.75">
      <c r="A48" s="29" t="s">
        <v>19</v>
      </c>
      <c r="B48" s="9">
        <v>804</v>
      </c>
      <c r="C48" s="9" t="s">
        <v>15</v>
      </c>
      <c r="D48" s="9" t="s">
        <v>18</v>
      </c>
      <c r="E48" s="41" t="s">
        <v>99</v>
      </c>
      <c r="F48" s="13"/>
      <c r="G48" s="78">
        <f>G49</f>
        <v>321.7</v>
      </c>
      <c r="H48" s="28">
        <f>H49</f>
        <v>313.5</v>
      </c>
      <c r="O48" s="105">
        <f t="shared" si="0"/>
        <v>0</v>
      </c>
      <c r="P48" s="105">
        <f t="shared" si="1"/>
        <v>0</v>
      </c>
    </row>
    <row r="49" spans="1:16" s="8" customFormat="1" ht="31.5">
      <c r="A49" s="29" t="s">
        <v>46</v>
      </c>
      <c r="B49" s="9">
        <v>804</v>
      </c>
      <c r="C49" s="9" t="s">
        <v>15</v>
      </c>
      <c r="D49" s="9" t="s">
        <v>18</v>
      </c>
      <c r="E49" s="41" t="s">
        <v>99</v>
      </c>
      <c r="F49" s="9" t="s">
        <v>45</v>
      </c>
      <c r="G49" s="74">
        <f>ROUND(330*97.5%,1)-0.1</f>
        <v>321.7</v>
      </c>
      <c r="H49" s="75">
        <f>ROUND(330*95%,1)</f>
        <v>313.5</v>
      </c>
      <c r="K49" s="8">
        <v>330</v>
      </c>
      <c r="L49" s="8">
        <v>330</v>
      </c>
      <c r="M49" s="3">
        <f>ROUND(K49*0.025,2)</f>
        <v>8.25</v>
      </c>
      <c r="N49" s="3">
        <f>ROUND(L49*0.05,2)</f>
        <v>16.5</v>
      </c>
      <c r="O49" s="105">
        <f t="shared" si="0"/>
        <v>321.75</v>
      </c>
      <c r="P49" s="105">
        <f t="shared" si="1"/>
        <v>313.5</v>
      </c>
    </row>
    <row r="50" spans="1:16" ht="15.75">
      <c r="A50" s="31" t="s">
        <v>20</v>
      </c>
      <c r="B50" s="6">
        <v>804</v>
      </c>
      <c r="C50" s="6" t="s">
        <v>15</v>
      </c>
      <c r="D50" s="6" t="s">
        <v>8</v>
      </c>
      <c r="E50" s="40"/>
      <c r="F50" s="7"/>
      <c r="G50" s="77">
        <f>G51+G54</f>
        <v>36108</v>
      </c>
      <c r="H50" s="26">
        <f>H51+H54</f>
        <v>36091.5</v>
      </c>
      <c r="K50" s="5">
        <f>K53+K56+K58+K60</f>
        <v>37033.8</v>
      </c>
      <c r="L50" s="5">
        <f>L53+L56+L58+L60</f>
        <v>37991</v>
      </c>
      <c r="M50" s="3">
        <f>ROUND(K50*0.025,2)</f>
        <v>925.85</v>
      </c>
      <c r="N50" s="3">
        <f>ROUND(L50*0.05,2)</f>
        <v>1899.55</v>
      </c>
      <c r="O50" s="105">
        <f t="shared" si="0"/>
        <v>36107.950000000004</v>
      </c>
      <c r="P50" s="105">
        <f t="shared" si="1"/>
        <v>36091.45</v>
      </c>
    </row>
    <row r="51" spans="1:16" ht="30.75">
      <c r="A51" s="29" t="s">
        <v>94</v>
      </c>
      <c r="B51" s="9">
        <v>804</v>
      </c>
      <c r="C51" s="9" t="s">
        <v>15</v>
      </c>
      <c r="D51" s="9" t="s">
        <v>8</v>
      </c>
      <c r="E51" s="41" t="s">
        <v>96</v>
      </c>
      <c r="F51" s="13"/>
      <c r="G51" s="78">
        <f>G52</f>
        <v>487.5</v>
      </c>
      <c r="H51" s="28">
        <f>H52</f>
        <v>475</v>
      </c>
      <c r="O51" s="54">
        <f t="shared" si="0"/>
        <v>0</v>
      </c>
      <c r="P51" s="54">
        <f t="shared" si="1"/>
        <v>0</v>
      </c>
    </row>
    <row r="52" spans="1:16" ht="15">
      <c r="A52" s="29" t="s">
        <v>95</v>
      </c>
      <c r="B52" s="9">
        <v>804</v>
      </c>
      <c r="C52" s="9" t="s">
        <v>15</v>
      </c>
      <c r="D52" s="9" t="s">
        <v>8</v>
      </c>
      <c r="E52" s="41" t="s">
        <v>97</v>
      </c>
      <c r="F52" s="13"/>
      <c r="G52" s="78">
        <f>G53</f>
        <v>487.5</v>
      </c>
      <c r="H52" s="28">
        <f>H53</f>
        <v>475</v>
      </c>
      <c r="O52" s="54">
        <f t="shared" si="0"/>
        <v>0</v>
      </c>
      <c r="P52" s="54">
        <f t="shared" si="1"/>
        <v>0</v>
      </c>
    </row>
    <row r="53" spans="1:16" ht="30.75">
      <c r="A53" s="29" t="s">
        <v>46</v>
      </c>
      <c r="B53" s="9">
        <v>804</v>
      </c>
      <c r="C53" s="9" t="s">
        <v>15</v>
      </c>
      <c r="D53" s="9" t="s">
        <v>8</v>
      </c>
      <c r="E53" s="41" t="s">
        <v>97</v>
      </c>
      <c r="F53" s="9" t="s">
        <v>45</v>
      </c>
      <c r="G53" s="74">
        <f>ROUND(500*97.5%,1)</f>
        <v>487.5</v>
      </c>
      <c r="H53" s="75">
        <f>ROUND(500*95%,1)</f>
        <v>475</v>
      </c>
      <c r="K53" s="3">
        <v>500</v>
      </c>
      <c r="L53" s="3">
        <v>500</v>
      </c>
      <c r="M53" s="3">
        <f>ROUND(K53*0.025,2)</f>
        <v>12.5</v>
      </c>
      <c r="N53" s="3">
        <f>ROUND(L53*0.05,2)</f>
        <v>25</v>
      </c>
      <c r="O53" s="105">
        <f t="shared" si="0"/>
        <v>487.5</v>
      </c>
      <c r="P53" s="105">
        <f t="shared" si="1"/>
        <v>475</v>
      </c>
    </row>
    <row r="54" spans="1:16" ht="15">
      <c r="A54" s="68" t="s">
        <v>56</v>
      </c>
      <c r="B54" s="70">
        <v>804</v>
      </c>
      <c r="C54" s="70" t="s">
        <v>15</v>
      </c>
      <c r="D54" s="70" t="s">
        <v>8</v>
      </c>
      <c r="E54" s="69" t="s">
        <v>57</v>
      </c>
      <c r="F54" s="70"/>
      <c r="G54" s="79">
        <f>G55+G57+G59+G61</f>
        <v>35620.5</v>
      </c>
      <c r="H54" s="71">
        <f>H55+H57+H59+H61</f>
        <v>35616.5</v>
      </c>
      <c r="O54" s="105">
        <f t="shared" si="0"/>
        <v>0</v>
      </c>
      <c r="P54" s="105">
        <f t="shared" si="1"/>
        <v>0</v>
      </c>
    </row>
    <row r="55" spans="1:16" ht="15">
      <c r="A55" s="29" t="s">
        <v>21</v>
      </c>
      <c r="B55" s="9">
        <v>804</v>
      </c>
      <c r="C55" s="9" t="s">
        <v>15</v>
      </c>
      <c r="D55" s="9" t="s">
        <v>8</v>
      </c>
      <c r="E55" s="41" t="s">
        <v>67</v>
      </c>
      <c r="F55" s="13"/>
      <c r="G55" s="78">
        <f>G56</f>
        <v>23268.7</v>
      </c>
      <c r="H55" s="28">
        <f>H56</f>
        <v>23581.4</v>
      </c>
      <c r="O55" s="105">
        <f t="shared" si="0"/>
        <v>0</v>
      </c>
      <c r="P55" s="105">
        <f t="shared" si="1"/>
        <v>0</v>
      </c>
    </row>
    <row r="56" spans="1:16" ht="30.75">
      <c r="A56" s="29" t="s">
        <v>46</v>
      </c>
      <c r="B56" s="9">
        <v>804</v>
      </c>
      <c r="C56" s="9" t="s">
        <v>15</v>
      </c>
      <c r="D56" s="9" t="s">
        <v>8</v>
      </c>
      <c r="E56" s="41" t="s">
        <v>67</v>
      </c>
      <c r="F56" s="9" t="s">
        <v>45</v>
      </c>
      <c r="G56" s="74">
        <f>ROUND(23865.3*97.5%,1)</f>
        <v>23268.7</v>
      </c>
      <c r="H56" s="75">
        <f>ROUND(24822.5*95%,1)</f>
        <v>23581.4</v>
      </c>
      <c r="K56" s="3">
        <v>23865.3</v>
      </c>
      <c r="L56" s="3">
        <v>24822.5</v>
      </c>
      <c r="M56" s="3">
        <f>ROUND(K56*0.025,2)</f>
        <v>596.63</v>
      </c>
      <c r="N56" s="3">
        <f>ROUND(L56*0.05,2)</f>
        <v>1241.13</v>
      </c>
      <c r="O56" s="105">
        <f t="shared" si="0"/>
        <v>23268.67</v>
      </c>
      <c r="P56" s="105">
        <f t="shared" si="1"/>
        <v>23581.37</v>
      </c>
    </row>
    <row r="57" spans="1:16" ht="15">
      <c r="A57" s="29" t="s">
        <v>22</v>
      </c>
      <c r="B57" s="9">
        <v>804</v>
      </c>
      <c r="C57" s="9" t="s">
        <v>15</v>
      </c>
      <c r="D57" s="9" t="s">
        <v>8</v>
      </c>
      <c r="E57" s="41" t="s">
        <v>68</v>
      </c>
      <c r="F57" s="13"/>
      <c r="G57" s="78">
        <f>G58</f>
        <v>4875</v>
      </c>
      <c r="H57" s="28">
        <f>H58</f>
        <v>4750</v>
      </c>
      <c r="O57" s="105">
        <f t="shared" si="0"/>
        <v>0</v>
      </c>
      <c r="P57" s="105">
        <f t="shared" si="1"/>
        <v>0</v>
      </c>
    </row>
    <row r="58" spans="1:16" ht="30.75">
      <c r="A58" s="29" t="s">
        <v>46</v>
      </c>
      <c r="B58" s="9">
        <v>804</v>
      </c>
      <c r="C58" s="9" t="s">
        <v>15</v>
      </c>
      <c r="D58" s="9" t="s">
        <v>8</v>
      </c>
      <c r="E58" s="41" t="s">
        <v>68</v>
      </c>
      <c r="F58" s="9" t="s">
        <v>45</v>
      </c>
      <c r="G58" s="74">
        <f>ROUND(5000*97.5%,1)</f>
        <v>4875</v>
      </c>
      <c r="H58" s="75">
        <f>ROUND(5000*95%,1)</f>
        <v>4750</v>
      </c>
      <c r="K58" s="3">
        <v>7000</v>
      </c>
      <c r="L58" s="3">
        <v>7000</v>
      </c>
      <c r="M58" s="3">
        <f>ROUND(K58*0.025,2)</f>
        <v>175</v>
      </c>
      <c r="N58" s="3">
        <f>ROUND(L58*0.05,2)</f>
        <v>350</v>
      </c>
      <c r="O58" s="105">
        <f t="shared" si="0"/>
        <v>6825</v>
      </c>
      <c r="P58" s="105">
        <f t="shared" si="1"/>
        <v>6650</v>
      </c>
    </row>
    <row r="59" spans="1:16" ht="30.75">
      <c r="A59" s="29" t="s">
        <v>23</v>
      </c>
      <c r="B59" s="9">
        <v>804</v>
      </c>
      <c r="C59" s="9" t="s">
        <v>15</v>
      </c>
      <c r="D59" s="9" t="s">
        <v>8</v>
      </c>
      <c r="E59" s="41" t="s">
        <v>69</v>
      </c>
      <c r="F59" s="13"/>
      <c r="G59" s="78">
        <f>G60</f>
        <v>5526.8</v>
      </c>
      <c r="H59" s="28">
        <f>H60</f>
        <v>5385.1</v>
      </c>
      <c r="O59" s="105">
        <f t="shared" si="0"/>
        <v>0</v>
      </c>
      <c r="P59" s="105">
        <f t="shared" si="1"/>
        <v>0</v>
      </c>
    </row>
    <row r="60" spans="1:16" ht="30.75">
      <c r="A60" s="29" t="s">
        <v>46</v>
      </c>
      <c r="B60" s="9">
        <v>804</v>
      </c>
      <c r="C60" s="9" t="s">
        <v>15</v>
      </c>
      <c r="D60" s="9" t="s">
        <v>8</v>
      </c>
      <c r="E60" s="41" t="s">
        <v>69</v>
      </c>
      <c r="F60" s="9" t="s">
        <v>45</v>
      </c>
      <c r="G60" s="74">
        <f>ROUND(5668.5*97.5%,1)</f>
        <v>5526.8</v>
      </c>
      <c r="H60" s="75">
        <f>ROUND(5668.5*95%,1)</f>
        <v>5385.1</v>
      </c>
      <c r="K60" s="3">
        <v>5668.5</v>
      </c>
      <c r="L60" s="3">
        <v>5668.5</v>
      </c>
      <c r="M60" s="3">
        <f>ROUND(K60*0.025,2)</f>
        <v>141.71</v>
      </c>
      <c r="N60" s="3">
        <f>ROUND(L60*0.05,2)</f>
        <v>283.43</v>
      </c>
      <c r="O60" s="105">
        <f t="shared" si="0"/>
        <v>5526.79</v>
      </c>
      <c r="P60" s="105">
        <f t="shared" si="1"/>
        <v>5385.07</v>
      </c>
    </row>
    <row r="61" spans="1:16" ht="15">
      <c r="A61" s="29" t="s">
        <v>100</v>
      </c>
      <c r="B61" s="9">
        <v>804</v>
      </c>
      <c r="C61" s="9" t="s">
        <v>15</v>
      </c>
      <c r="D61" s="9" t="s">
        <v>8</v>
      </c>
      <c r="E61" s="41" t="s">
        <v>101</v>
      </c>
      <c r="F61" s="9"/>
      <c r="G61" s="78">
        <f>G62</f>
        <v>1950</v>
      </c>
      <c r="H61" s="28">
        <f>H62</f>
        <v>1900</v>
      </c>
      <c r="O61" s="105"/>
      <c r="P61" s="105"/>
    </row>
    <row r="62" spans="1:16" ht="30.75">
      <c r="A62" s="29" t="s">
        <v>46</v>
      </c>
      <c r="B62" s="9">
        <v>804</v>
      </c>
      <c r="C62" s="9" t="s">
        <v>15</v>
      </c>
      <c r="D62" s="9" t="s">
        <v>8</v>
      </c>
      <c r="E62" s="41" t="s">
        <v>101</v>
      </c>
      <c r="F62" s="9" t="s">
        <v>45</v>
      </c>
      <c r="G62" s="74">
        <f>ROUND(2000*97.5%,1)</f>
        <v>1950</v>
      </c>
      <c r="H62" s="75">
        <f>ROUND(2000*95%,1)</f>
        <v>1900</v>
      </c>
      <c r="O62" s="105"/>
      <c r="P62" s="105"/>
    </row>
    <row r="63" spans="1:16" ht="15">
      <c r="A63" s="32" t="s">
        <v>24</v>
      </c>
      <c r="B63" s="23">
        <v>804</v>
      </c>
      <c r="C63" s="23" t="s">
        <v>25</v>
      </c>
      <c r="D63" s="23"/>
      <c r="E63" s="46"/>
      <c r="F63" s="23"/>
      <c r="G63" s="81">
        <f>G64+G68</f>
        <v>62536.5</v>
      </c>
      <c r="H63" s="33">
        <f>H64+H68</f>
        <v>61407.7</v>
      </c>
      <c r="K63" s="3">
        <v>64140</v>
      </c>
      <c r="L63" s="3">
        <v>64639.7</v>
      </c>
      <c r="M63" s="3">
        <f>ROUND(K63*0.025,2)</f>
        <v>1603.5</v>
      </c>
      <c r="N63" s="3">
        <f>ROUND(L63*0.05,2)</f>
        <v>3231.99</v>
      </c>
      <c r="O63" s="105">
        <f t="shared" si="0"/>
        <v>62536.5</v>
      </c>
      <c r="P63" s="105">
        <f t="shared" si="1"/>
        <v>61407.71</v>
      </c>
    </row>
    <row r="64" spans="1:16" s="5" customFormat="1" ht="15.75">
      <c r="A64" s="25" t="s">
        <v>26</v>
      </c>
      <c r="B64" s="6">
        <v>804</v>
      </c>
      <c r="C64" s="6" t="s">
        <v>25</v>
      </c>
      <c r="D64" s="6" t="s">
        <v>7</v>
      </c>
      <c r="E64" s="40"/>
      <c r="F64" s="6"/>
      <c r="G64" s="77">
        <f aca="true" t="shared" si="6" ref="G64:H66">G65</f>
        <v>57616.4</v>
      </c>
      <c r="H64" s="26">
        <f t="shared" si="6"/>
        <v>56559.2</v>
      </c>
      <c r="O64" s="54">
        <f t="shared" si="0"/>
        <v>0</v>
      </c>
      <c r="P64" s="54">
        <f t="shared" si="1"/>
        <v>0</v>
      </c>
    </row>
    <row r="65" spans="1:16" s="8" customFormat="1" ht="15.75">
      <c r="A65" s="29" t="s">
        <v>56</v>
      </c>
      <c r="B65" s="9">
        <v>804</v>
      </c>
      <c r="C65" s="9" t="s">
        <v>25</v>
      </c>
      <c r="D65" s="9" t="s">
        <v>7</v>
      </c>
      <c r="E65" s="44" t="s">
        <v>57</v>
      </c>
      <c r="F65" s="9"/>
      <c r="G65" s="78">
        <f t="shared" si="6"/>
        <v>57616.4</v>
      </c>
      <c r="H65" s="28">
        <f t="shared" si="6"/>
        <v>56559.2</v>
      </c>
      <c r="O65" s="54">
        <f t="shared" si="0"/>
        <v>0</v>
      </c>
      <c r="P65" s="54">
        <f t="shared" si="1"/>
        <v>0</v>
      </c>
    </row>
    <row r="66" spans="1:16" ht="78">
      <c r="A66" s="29" t="s">
        <v>74</v>
      </c>
      <c r="B66" s="9">
        <v>804</v>
      </c>
      <c r="C66" s="9" t="s">
        <v>25</v>
      </c>
      <c r="D66" s="9" t="s">
        <v>7</v>
      </c>
      <c r="E66" s="44" t="s">
        <v>70</v>
      </c>
      <c r="F66" s="9"/>
      <c r="G66" s="78">
        <f t="shared" si="6"/>
        <v>57616.4</v>
      </c>
      <c r="H66" s="28">
        <f t="shared" si="6"/>
        <v>56559.2</v>
      </c>
      <c r="O66" s="54">
        <f t="shared" si="0"/>
        <v>0</v>
      </c>
      <c r="P66" s="54">
        <f t="shared" si="1"/>
        <v>0</v>
      </c>
    </row>
    <row r="67" spans="1:16" ht="15">
      <c r="A67" s="29" t="s">
        <v>47</v>
      </c>
      <c r="B67" s="9">
        <v>804</v>
      </c>
      <c r="C67" s="9" t="s">
        <v>25</v>
      </c>
      <c r="D67" s="9" t="s">
        <v>7</v>
      </c>
      <c r="E67" s="44" t="s">
        <v>70</v>
      </c>
      <c r="F67" s="9" t="s">
        <v>32</v>
      </c>
      <c r="G67" s="74">
        <f>ROUND(59093.7*97.5%,1)</f>
        <v>57616.4</v>
      </c>
      <c r="H67" s="75">
        <f>ROUND(59536*95%,1)</f>
        <v>56559.2</v>
      </c>
      <c r="O67" s="54">
        <f t="shared" si="0"/>
        <v>0</v>
      </c>
      <c r="P67" s="54">
        <f t="shared" si="1"/>
        <v>0</v>
      </c>
    </row>
    <row r="68" spans="1:16" ht="15.75">
      <c r="A68" s="25" t="s">
        <v>36</v>
      </c>
      <c r="B68" s="6">
        <v>804</v>
      </c>
      <c r="C68" s="6" t="s">
        <v>25</v>
      </c>
      <c r="D68" s="6" t="s">
        <v>18</v>
      </c>
      <c r="E68" s="40"/>
      <c r="F68" s="6"/>
      <c r="G68" s="77">
        <f aca="true" t="shared" si="7" ref="G68:H70">G69</f>
        <v>4920.1</v>
      </c>
      <c r="H68" s="26">
        <f t="shared" si="7"/>
        <v>4848.5</v>
      </c>
      <c r="O68" s="54">
        <f t="shared" si="0"/>
        <v>0</v>
      </c>
      <c r="P68" s="54">
        <f t="shared" si="1"/>
        <v>0</v>
      </c>
    </row>
    <row r="69" spans="1:16" s="8" customFormat="1" ht="15.75">
      <c r="A69" s="29" t="s">
        <v>56</v>
      </c>
      <c r="B69" s="9">
        <v>804</v>
      </c>
      <c r="C69" s="9" t="s">
        <v>25</v>
      </c>
      <c r="D69" s="9" t="s">
        <v>18</v>
      </c>
      <c r="E69" s="44" t="s">
        <v>57</v>
      </c>
      <c r="F69" s="9"/>
      <c r="G69" s="78">
        <f t="shared" si="7"/>
        <v>4920.1</v>
      </c>
      <c r="H69" s="28">
        <f t="shared" si="7"/>
        <v>4848.5</v>
      </c>
      <c r="O69" s="54">
        <f t="shared" si="0"/>
        <v>0</v>
      </c>
      <c r="P69" s="54">
        <f t="shared" si="1"/>
        <v>0</v>
      </c>
    </row>
    <row r="70" spans="1:16" ht="78">
      <c r="A70" s="29" t="s">
        <v>74</v>
      </c>
      <c r="B70" s="9">
        <v>804</v>
      </c>
      <c r="C70" s="9" t="s">
        <v>25</v>
      </c>
      <c r="D70" s="9" t="s">
        <v>18</v>
      </c>
      <c r="E70" s="44" t="s">
        <v>70</v>
      </c>
      <c r="F70" s="9"/>
      <c r="G70" s="78">
        <f t="shared" si="7"/>
        <v>4920.1</v>
      </c>
      <c r="H70" s="28">
        <f t="shared" si="7"/>
        <v>4848.5</v>
      </c>
      <c r="O70" s="54">
        <f t="shared" si="0"/>
        <v>0</v>
      </c>
      <c r="P70" s="54">
        <f t="shared" si="1"/>
        <v>0</v>
      </c>
    </row>
    <row r="71" spans="1:16" ht="15">
      <c r="A71" s="29" t="s">
        <v>47</v>
      </c>
      <c r="B71" s="9">
        <v>804</v>
      </c>
      <c r="C71" s="9" t="s">
        <v>25</v>
      </c>
      <c r="D71" s="9" t="s">
        <v>18</v>
      </c>
      <c r="E71" s="44" t="s">
        <v>70</v>
      </c>
      <c r="F71" s="9" t="s">
        <v>32</v>
      </c>
      <c r="G71" s="74">
        <f>ROUND(5046.3*97.5%,1)</f>
        <v>4920.1</v>
      </c>
      <c r="H71" s="75">
        <f>ROUND(5103.7*95%,1)</f>
        <v>4848.5</v>
      </c>
      <c r="O71" s="54">
        <f t="shared" si="0"/>
        <v>0</v>
      </c>
      <c r="P71" s="54">
        <f t="shared" si="1"/>
        <v>0</v>
      </c>
    </row>
    <row r="72" spans="1:16" ht="15">
      <c r="A72" s="32" t="s">
        <v>27</v>
      </c>
      <c r="B72" s="23">
        <v>804</v>
      </c>
      <c r="C72" s="23" t="s">
        <v>28</v>
      </c>
      <c r="D72" s="23"/>
      <c r="E72" s="46"/>
      <c r="F72" s="23"/>
      <c r="G72" s="81">
        <f aca="true" t="shared" si="8" ref="G72:H76">G73</f>
        <v>99524.7</v>
      </c>
      <c r="H72" s="33">
        <f t="shared" si="8"/>
        <v>98397</v>
      </c>
      <c r="K72" s="3">
        <v>102076.6</v>
      </c>
      <c r="L72" s="3">
        <v>103575.8</v>
      </c>
      <c r="M72" s="3">
        <f>ROUND(K72*0.025,2)</f>
        <v>2551.92</v>
      </c>
      <c r="N72" s="3">
        <f>ROUND(L72*0.05,2)</f>
        <v>5178.79</v>
      </c>
      <c r="O72" s="54">
        <f t="shared" si="0"/>
        <v>99524.68000000001</v>
      </c>
      <c r="P72" s="54">
        <f t="shared" si="1"/>
        <v>98397.01000000001</v>
      </c>
    </row>
    <row r="73" spans="1:16" s="5" customFormat="1" ht="15.75">
      <c r="A73" s="25" t="s">
        <v>29</v>
      </c>
      <c r="B73" s="6">
        <v>804</v>
      </c>
      <c r="C73" s="6" t="s">
        <v>28</v>
      </c>
      <c r="D73" s="6" t="s">
        <v>7</v>
      </c>
      <c r="E73" s="45"/>
      <c r="F73" s="6"/>
      <c r="G73" s="77">
        <f t="shared" si="8"/>
        <v>99524.7</v>
      </c>
      <c r="H73" s="26">
        <f t="shared" si="8"/>
        <v>98397</v>
      </c>
      <c r="O73" s="54">
        <f t="shared" si="0"/>
        <v>0</v>
      </c>
      <c r="P73" s="54">
        <f t="shared" si="1"/>
        <v>0</v>
      </c>
    </row>
    <row r="74" spans="1:16" s="8" customFormat="1" ht="31.5">
      <c r="A74" s="29" t="s">
        <v>35</v>
      </c>
      <c r="B74" s="9">
        <v>804</v>
      </c>
      <c r="C74" s="9" t="s">
        <v>28</v>
      </c>
      <c r="D74" s="9" t="s">
        <v>7</v>
      </c>
      <c r="E74" s="44" t="s">
        <v>71</v>
      </c>
      <c r="F74" s="9"/>
      <c r="G74" s="78">
        <f t="shared" si="8"/>
        <v>99524.7</v>
      </c>
      <c r="H74" s="28">
        <f t="shared" si="8"/>
        <v>98397</v>
      </c>
      <c r="O74" s="54">
        <f t="shared" si="0"/>
        <v>0</v>
      </c>
      <c r="P74" s="54">
        <f t="shared" si="1"/>
        <v>0</v>
      </c>
    </row>
    <row r="75" spans="1:16" ht="31.5">
      <c r="A75" s="29" t="s">
        <v>64</v>
      </c>
      <c r="B75" s="9">
        <v>804</v>
      </c>
      <c r="C75" s="9" t="s">
        <v>28</v>
      </c>
      <c r="D75" s="9" t="s">
        <v>7</v>
      </c>
      <c r="E75" s="44" t="s">
        <v>72</v>
      </c>
      <c r="F75" s="6"/>
      <c r="G75" s="78">
        <f t="shared" si="8"/>
        <v>99524.7</v>
      </c>
      <c r="H75" s="28">
        <f t="shared" si="8"/>
        <v>98397</v>
      </c>
      <c r="O75" s="54">
        <f t="shared" si="0"/>
        <v>0</v>
      </c>
      <c r="P75" s="54">
        <f t="shared" si="1"/>
        <v>0</v>
      </c>
    </row>
    <row r="76" spans="1:16" ht="33.75" customHeight="1">
      <c r="A76" s="29" t="s">
        <v>65</v>
      </c>
      <c r="B76" s="9">
        <v>804</v>
      </c>
      <c r="C76" s="9" t="s">
        <v>28</v>
      </c>
      <c r="D76" s="9" t="s">
        <v>7</v>
      </c>
      <c r="E76" s="44" t="s">
        <v>73</v>
      </c>
      <c r="F76" s="9"/>
      <c r="G76" s="78">
        <f t="shared" si="8"/>
        <v>99524.7</v>
      </c>
      <c r="H76" s="28">
        <f t="shared" si="8"/>
        <v>98397</v>
      </c>
      <c r="O76" s="54">
        <f aca="true" t="shared" si="9" ref="O76:P78">K76-M76</f>
        <v>0</v>
      </c>
      <c r="P76" s="54">
        <f t="shared" si="9"/>
        <v>0</v>
      </c>
    </row>
    <row r="77" spans="1:16" ht="47.25" thickBot="1">
      <c r="A77" s="89" t="s">
        <v>48</v>
      </c>
      <c r="B77" s="90">
        <v>804</v>
      </c>
      <c r="C77" s="90" t="s">
        <v>28</v>
      </c>
      <c r="D77" s="90" t="s">
        <v>7</v>
      </c>
      <c r="E77" s="91" t="s">
        <v>73</v>
      </c>
      <c r="F77" s="90" t="s">
        <v>49</v>
      </c>
      <c r="G77" s="92">
        <f>ROUND(102076.6*97.5%,1)</f>
        <v>99524.7</v>
      </c>
      <c r="H77" s="93">
        <f>ROUND(103575.8*95%,1)</f>
        <v>98397</v>
      </c>
      <c r="O77" s="54">
        <f t="shared" si="9"/>
        <v>0</v>
      </c>
      <c r="P77" s="54">
        <f t="shared" si="9"/>
        <v>0</v>
      </c>
    </row>
    <row r="78" spans="1:16" ht="15.75" thickBot="1">
      <c r="A78" s="47" t="s">
        <v>30</v>
      </c>
      <c r="B78" s="84"/>
      <c r="C78" s="48"/>
      <c r="D78" s="48"/>
      <c r="E78" s="48"/>
      <c r="F78" s="48"/>
      <c r="G78" s="85">
        <f>G10+G16</f>
        <v>263618</v>
      </c>
      <c r="H78" s="49">
        <f>H10+H16</f>
        <v>259769.1</v>
      </c>
      <c r="K78" s="85">
        <f>K10+K16</f>
        <v>270377.4</v>
      </c>
      <c r="L78" s="49">
        <f>L10+L16</f>
        <v>273441.19999999995</v>
      </c>
      <c r="M78" s="85">
        <f>M10+M16</f>
        <v>6759.4400000000005</v>
      </c>
      <c r="N78" s="49">
        <f>N10+N16</f>
        <v>13672.06</v>
      </c>
      <c r="O78" s="104">
        <f t="shared" si="9"/>
        <v>263617.96</v>
      </c>
      <c r="P78" s="104">
        <f t="shared" si="9"/>
        <v>259769.13999999996</v>
      </c>
    </row>
    <row r="79" spans="1:14" ht="15">
      <c r="A79" s="94"/>
      <c r="B79" s="95"/>
      <c r="C79" s="95"/>
      <c r="D79" s="95"/>
      <c r="E79" s="96"/>
      <c r="F79" s="95"/>
      <c r="G79" s="97"/>
      <c r="H79" s="97"/>
      <c r="M79" s="3">
        <f>ROUND(K78*0.025,2)</f>
        <v>6759.44</v>
      </c>
      <c r="N79" s="3">
        <f>ROUND(L78*0.05,2)</f>
        <v>13672.06</v>
      </c>
    </row>
    <row r="80" spans="1:8" ht="15" hidden="1">
      <c r="A80" s="94"/>
      <c r="B80" s="95"/>
      <c r="C80" s="95"/>
      <c r="D80" s="95"/>
      <c r="E80" s="96"/>
      <c r="F80" s="95"/>
      <c r="G80" s="97"/>
      <c r="H80" s="97"/>
    </row>
    <row r="81" spans="1:8" ht="15.75" hidden="1" thickBot="1">
      <c r="A81" s="94"/>
      <c r="B81" s="95"/>
      <c r="C81" s="95"/>
      <c r="D81" s="95"/>
      <c r="E81" s="96"/>
      <c r="F81" s="95"/>
      <c r="G81" s="97"/>
      <c r="H81" s="97"/>
    </row>
    <row r="82" spans="1:8" ht="15" hidden="1">
      <c r="A82" s="98" t="s">
        <v>81</v>
      </c>
      <c r="B82" s="99">
        <v>999</v>
      </c>
      <c r="C82" s="100">
        <v>99</v>
      </c>
      <c r="D82" s="100"/>
      <c r="E82" s="101"/>
      <c r="F82" s="100"/>
      <c r="G82" s="102">
        <f aca="true" t="shared" si="10" ref="G82:H84">G83</f>
        <v>6759.4</v>
      </c>
      <c r="H82" s="103">
        <f t="shared" si="10"/>
        <v>13672.1</v>
      </c>
    </row>
    <row r="83" spans="1:8" ht="15.75" hidden="1">
      <c r="A83" s="25" t="s">
        <v>80</v>
      </c>
      <c r="B83" s="59">
        <v>999</v>
      </c>
      <c r="C83" s="6">
        <v>99</v>
      </c>
      <c r="D83" s="6" t="s">
        <v>82</v>
      </c>
      <c r="E83" s="45"/>
      <c r="F83" s="6"/>
      <c r="G83" s="82">
        <f t="shared" si="10"/>
        <v>6759.4</v>
      </c>
      <c r="H83" s="83">
        <f t="shared" si="10"/>
        <v>13672.1</v>
      </c>
    </row>
    <row r="84" spans="1:8" ht="15" hidden="1">
      <c r="A84" s="29" t="s">
        <v>80</v>
      </c>
      <c r="B84" s="61">
        <v>999</v>
      </c>
      <c r="C84" s="9">
        <v>99</v>
      </c>
      <c r="D84" s="9" t="s">
        <v>82</v>
      </c>
      <c r="E84" s="44" t="s">
        <v>83</v>
      </c>
      <c r="F84" s="9"/>
      <c r="G84" s="74">
        <f t="shared" si="10"/>
        <v>6759.4</v>
      </c>
      <c r="H84" s="75">
        <f t="shared" si="10"/>
        <v>13672.1</v>
      </c>
    </row>
    <row r="85" spans="1:8" ht="15.75" hidden="1" thickBot="1">
      <c r="A85" s="29" t="s">
        <v>44</v>
      </c>
      <c r="B85" s="61">
        <v>999</v>
      </c>
      <c r="C85" s="9">
        <v>99</v>
      </c>
      <c r="D85" s="9" t="s">
        <v>82</v>
      </c>
      <c r="E85" s="44" t="s">
        <v>83</v>
      </c>
      <c r="F85" s="9" t="s">
        <v>43</v>
      </c>
      <c r="G85" s="74">
        <f>ROUND(270377.4*2.5%,1)</f>
        <v>6759.4</v>
      </c>
      <c r="H85" s="75">
        <f>ROUND(273441.2*5%,1)</f>
        <v>13672.1</v>
      </c>
    </row>
    <row r="86" spans="1:8" ht="15.75" hidden="1" thickBot="1">
      <c r="A86" s="47" t="s">
        <v>30</v>
      </c>
      <c r="B86" s="84"/>
      <c r="C86" s="48"/>
      <c r="D86" s="48"/>
      <c r="E86" s="48"/>
      <c r="F86" s="48"/>
      <c r="G86" s="85">
        <f>G10+G16+G82</f>
        <v>270377.4</v>
      </c>
      <c r="H86" s="49">
        <f>H10+H16+H82</f>
        <v>273441.2</v>
      </c>
    </row>
    <row r="95" spans="7:8" ht="15">
      <c r="G95" s="15"/>
      <c r="H95" s="15"/>
    </row>
  </sheetData>
  <sheetProtection/>
  <mergeCells count="11">
    <mergeCell ref="D8:D9"/>
    <mergeCell ref="E8:E9"/>
    <mergeCell ref="A3:H3"/>
    <mergeCell ref="A4:H4"/>
    <mergeCell ref="A5:H5"/>
    <mergeCell ref="F8:F9"/>
    <mergeCell ref="G8:H8"/>
    <mergeCell ref="A7:F7"/>
    <mergeCell ref="A8:A9"/>
    <mergeCell ref="B8:B9"/>
    <mergeCell ref="C8:C9"/>
  </mergeCells>
  <printOptions horizontalCentered="1"/>
  <pageMargins left="1.1811023622047245" right="0.2362204724409449" top="0.31496062992125984" bottom="0.2755905511811024" header="0.35433070866141736" footer="0.196850393700787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Алена Николаевна Валиахметова</cp:lastModifiedBy>
  <cp:lastPrinted>2016-10-28T15:53:19Z</cp:lastPrinted>
  <dcterms:created xsi:type="dcterms:W3CDTF">2011-11-01T06:15:33Z</dcterms:created>
  <dcterms:modified xsi:type="dcterms:W3CDTF">2016-11-21T14:06:30Z</dcterms:modified>
  <cp:category/>
  <cp:version/>
  <cp:contentType/>
  <cp:contentStatus/>
</cp:coreProperties>
</file>